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tabRatio="714" firstSheet="1" activeTab="9"/>
  </bookViews>
  <sheets>
    <sheet name="Primer 1" sheetId="1" r:id="rId1"/>
    <sheet name="Primer 2" sheetId="2" r:id="rId2"/>
    <sheet name="Primer 3" sheetId="3" r:id="rId3"/>
    <sheet name="Primer 4" sheetId="4" r:id="rId4"/>
    <sheet name="Primer 5" sheetId="5" r:id="rId5"/>
    <sheet name="Primeri 6 i 7" sheetId="6" r:id="rId6"/>
    <sheet name="Primeri 8 i 9" sheetId="7" r:id="rId7"/>
    <sheet name="Primer 10" sheetId="8" r:id="rId8"/>
    <sheet name="Primer 11" sheetId="9" r:id="rId9"/>
    <sheet name="Primer 12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<sst xmlns="http://schemas.openxmlformats.org/spreadsheetml/2006/main" count="201" uniqueCount="61">
  <si>
    <t>kupon</t>
  </si>
  <si>
    <t>dospece</t>
  </si>
  <si>
    <t>godina</t>
  </si>
  <si>
    <t>vrednost</t>
  </si>
  <si>
    <t>cena</t>
  </si>
  <si>
    <t>prinos</t>
  </si>
  <si>
    <t>Scenario</t>
  </si>
  <si>
    <t>promena prinosa</t>
  </si>
  <si>
    <t>novi prinos</t>
  </si>
  <si>
    <t>nova cena</t>
  </si>
  <si>
    <t>nova trz. vr.</t>
  </si>
  <si>
    <t>% promene t.v.</t>
  </si>
  <si>
    <t>A</t>
  </si>
  <si>
    <t>B</t>
  </si>
  <si>
    <t>Portfolio</t>
  </si>
  <si>
    <t>C</t>
  </si>
  <si>
    <t>D</t>
  </si>
  <si>
    <t>Stare cene</t>
  </si>
  <si>
    <t>Nove cene</t>
  </si>
  <si>
    <t>Promene cena</t>
  </si>
  <si>
    <t>Polugodiste</t>
  </si>
  <si>
    <t>spot stopa</t>
  </si>
  <si>
    <t>Cash Flow</t>
  </si>
  <si>
    <t>diskontni faktor</t>
  </si>
  <si>
    <t>PV</t>
  </si>
  <si>
    <t>zbir</t>
  </si>
  <si>
    <t>promena (bp)</t>
  </si>
  <si>
    <t>nova spot stopa</t>
  </si>
  <si>
    <t>rel. promena</t>
  </si>
  <si>
    <t>m</t>
  </si>
  <si>
    <t>sigma</t>
  </si>
  <si>
    <t>bp</t>
  </si>
  <si>
    <t>promena</t>
  </si>
  <si>
    <t>diskontna stopa</t>
  </si>
  <si>
    <t>W</t>
  </si>
  <si>
    <t>t*W</t>
  </si>
  <si>
    <t>&lt;-- D</t>
  </si>
  <si>
    <t>IRR</t>
  </si>
  <si>
    <t>+1 bp</t>
  </si>
  <si>
    <t>-1 bp</t>
  </si>
  <si>
    <t>Apsolutne promene</t>
  </si>
  <si>
    <t>Relativne promene (bp)</t>
  </si>
  <si>
    <t>CF1</t>
  </si>
  <si>
    <t>CF2</t>
  </si>
  <si>
    <t>Neto</t>
  </si>
  <si>
    <t>Diskontni faktori</t>
  </si>
  <si>
    <t>promena d. stope</t>
  </si>
  <si>
    <t>bp +/-</t>
  </si>
  <si>
    <t>+</t>
  </si>
  <si>
    <t>-</t>
  </si>
  <si>
    <t>dospece za ZC</t>
  </si>
  <si>
    <t>Obveznica</t>
  </si>
  <si>
    <t>par</t>
  </si>
  <si>
    <t>trz. vrednost</t>
  </si>
  <si>
    <t>w*D</t>
  </si>
  <si>
    <t>Promene</t>
  </si>
  <si>
    <t>y</t>
  </si>
  <si>
    <t>nov y</t>
  </si>
  <si>
    <t>udeo</t>
  </si>
  <si>
    <t>YTM</t>
  </si>
  <si>
    <t>&lt;-- M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</si>
</sst>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88" formatCode="[$$-409]#,##0"/>
    <numFmt numFmtId="189" formatCode="0.0%"/>
    <numFmt numFmtId="190" formatCode="#,##0.00_ ;[Red]\-#,##0.00\ "/>
    <numFmt numFmtId="192" formatCode="#,##0.0000_ ;[Red]\-#,##0.0000\ "/>
    <numFmt numFmtId="198" formatCode="0.0000%"/>
    <numFmt numFmtId="199" formatCode="0.0000"/>
    <numFmt numFmtId="200" formatCode="#,##0.00\ &quot;Din.&quot;"/>
    <numFmt numFmtId="201" formatCode="0.000"/>
    <numFmt numFmtId="206" formatCode="0.00_ ;[Red]\-0.00\ "/>
    <numFmt numFmtId="208" formatCode="0_ ;[Red]\-0\ "/>
    <numFmt numFmtId="211" formatCode="#,##0.0000"/>
    <numFmt numFmtId="228" formatCode="0.000000000000000000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2" borderId="1" applyNumberFormat="0" applyAlignment="0" applyProtection="0"/>
    <xf numFmtId="0" fontId="16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1" fontId="0" fillId="0" borderId="0" xfId="0" applyNumberFormat="1" applyAlignment="1">
      <alignment/>
    </xf>
    <xf numFmtId="192" fontId="0" fillId="0" borderId="0" xfId="0" applyNumberForma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9" fontId="0" fillId="0" borderId="0" xfId="57" applyAlignment="1">
      <alignment/>
    </xf>
    <xf numFmtId="10" fontId="0" fillId="0" borderId="0" xfId="57" applyNumberFormat="1" applyAlignment="1">
      <alignment/>
    </xf>
    <xf numFmtId="9" fontId="0" fillId="0" borderId="0" xfId="57" applyNumberFormat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92" fontId="0" fillId="0" borderId="0" xfId="0" applyNumberFormat="1" applyFont="1" applyAlignment="1">
      <alignment/>
    </xf>
    <xf numFmtId="0" fontId="3" fillId="0" borderId="0" xfId="0" applyFont="1" applyAlignment="1">
      <alignment/>
    </xf>
    <xf numFmtId="10" fontId="0" fillId="0" borderId="0" xfId="57" applyNumberFormat="1" applyFont="1" applyAlignment="1">
      <alignment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00" fontId="1" fillId="0" borderId="0" xfId="0" applyNumberFormat="1" applyFont="1" applyAlignment="1">
      <alignment horizontal="right" vertical="center"/>
    </xf>
    <xf numFmtId="19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98" fontId="0" fillId="0" borderId="0" xfId="57" applyNumberFormat="1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01" fontId="0" fillId="0" borderId="0" xfId="0" applyNumberFormat="1" applyAlignment="1">
      <alignment/>
    </xf>
    <xf numFmtId="198" fontId="0" fillId="0" borderId="0" xfId="57" applyNumberFormat="1" applyAlignment="1">
      <alignment/>
    </xf>
    <xf numFmtId="198" fontId="1" fillId="0" borderId="0" xfId="0" applyNumberFormat="1" applyFont="1" applyAlignment="1">
      <alignment horizontal="center"/>
    </xf>
    <xf numFmtId="2" fontId="0" fillId="0" borderId="0" xfId="57" applyNumberFormat="1" applyFont="1" applyAlignment="1">
      <alignment/>
    </xf>
    <xf numFmtId="2" fontId="0" fillId="0" borderId="0" xfId="0" applyNumberFormat="1" applyFont="1" applyAlignment="1">
      <alignment horizontal="center"/>
    </xf>
    <xf numFmtId="19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2" fontId="0" fillId="0" borderId="0" xfId="57" applyNumberFormat="1" applyFont="1" applyAlignment="1">
      <alignment/>
    </xf>
    <xf numFmtId="2" fontId="0" fillId="17" borderId="0" xfId="57" applyNumberFormat="1" applyFont="1" applyFill="1" applyAlignment="1">
      <alignment/>
    </xf>
    <xf numFmtId="199" fontId="1" fillId="17" borderId="0" xfId="0" applyNumberFormat="1" applyFont="1" applyFill="1" applyAlignment="1">
      <alignment/>
    </xf>
    <xf numFmtId="199" fontId="1" fillId="0" borderId="0" xfId="0" applyNumberFormat="1" applyFont="1" applyFill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57" applyNumberFormat="1" applyFon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 horizontal="right"/>
    </xf>
    <xf numFmtId="199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211" fontId="0" fillId="0" borderId="0" xfId="0" applyNumberFormat="1" applyAlignment="1">
      <alignment/>
    </xf>
    <xf numFmtId="228" fontId="0" fillId="0" borderId="0" xfId="0" applyNumberFormat="1" applyAlignment="1">
      <alignment/>
    </xf>
    <xf numFmtId="0" fontId="1" fillId="8" borderId="0" xfId="0" applyFont="1" applyFill="1" applyAlignment="1">
      <alignment/>
    </xf>
    <xf numFmtId="0" fontId="1" fillId="16" borderId="0" xfId="0" applyFont="1" applyFill="1" applyAlignment="1">
      <alignment/>
    </xf>
    <xf numFmtId="10" fontId="1" fillId="0" borderId="0" xfId="0" applyNumberFormat="1" applyFont="1" applyAlignment="1">
      <alignment/>
    </xf>
    <xf numFmtId="189" fontId="0" fillId="0" borderId="0" xfId="57" applyNumberFormat="1" applyFont="1" applyAlignment="1">
      <alignment/>
    </xf>
    <xf numFmtId="10" fontId="0" fillId="18" borderId="0" xfId="0" applyNumberFormat="1" applyFill="1" applyAlignment="1">
      <alignment/>
    </xf>
    <xf numFmtId="192" fontId="0" fillId="18" borderId="0" xfId="0" applyNumberFormat="1" applyFont="1" applyFill="1" applyAlignment="1">
      <alignment/>
    </xf>
    <xf numFmtId="192" fontId="4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4" sqref="E24"/>
    </sheetView>
  </sheetViews>
  <sheetFormatPr defaultColWidth="8.8515625" defaultRowHeight="12.75"/>
  <cols>
    <col min="2" max="2" width="16.00390625" style="0" customWidth="1"/>
    <col min="3" max="3" width="11.00390625" style="0" bestFit="1" customWidth="1"/>
    <col min="4" max="4" width="11.421875" style="0" customWidth="1"/>
    <col min="5" max="5" width="13.00390625" style="0" customWidth="1"/>
    <col min="6" max="6" width="14.421875" style="0" bestFit="1" customWidth="1"/>
  </cols>
  <sheetData>
    <row r="1" spans="1:2" ht="12.75">
      <c r="A1" s="3" t="s">
        <v>0</v>
      </c>
      <c r="B1" s="6">
        <v>9</v>
      </c>
    </row>
    <row r="2" spans="1:3" ht="12.75">
      <c r="A2" s="3" t="s">
        <v>1</v>
      </c>
      <c r="B2">
        <v>20</v>
      </c>
      <c r="C2" t="s">
        <v>2</v>
      </c>
    </row>
    <row r="3" spans="1:2" ht="12.75">
      <c r="A3" s="3" t="s">
        <v>3</v>
      </c>
      <c r="B3" s="2">
        <v>10000000</v>
      </c>
    </row>
    <row r="4" spans="1:2" ht="12.75">
      <c r="A4" s="3" t="s">
        <v>4</v>
      </c>
      <c r="B4">
        <v>134.6722</v>
      </c>
    </row>
    <row r="5" spans="1:2" ht="12.75">
      <c r="A5" s="3" t="s">
        <v>5</v>
      </c>
      <c r="B5" s="1">
        <v>0.06</v>
      </c>
    </row>
    <row r="8" spans="1:6" ht="12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ht="12.75">
      <c r="A9" s="4">
        <v>0</v>
      </c>
      <c r="B9">
        <v>0</v>
      </c>
      <c r="C9" s="5">
        <f>$B$5+B9/10000</f>
        <v>0.06</v>
      </c>
      <c r="D9" s="7">
        <f>PV(C9/2,$B$2*2,-$B$1/2,-100)</f>
        <v>134.67215796130964</v>
      </c>
      <c r="E9" s="2">
        <f>D9*$B$3/100</f>
        <v>13467215.796130965</v>
      </c>
      <c r="F9" s="8">
        <f>(E9-$B$4*$B$3/100)/($B$4*$B$3/100)</f>
        <v>-3.1215566653455615E-07</v>
      </c>
    </row>
    <row r="10" spans="1:6" ht="12.75">
      <c r="A10" s="4">
        <v>1</v>
      </c>
      <c r="B10">
        <v>50</v>
      </c>
      <c r="C10" s="5">
        <f>$B$5+B10/10000</f>
        <v>0.065</v>
      </c>
      <c r="D10" s="7">
        <f>PV(C10/2,$B$2*2,-$B$1/2,-100)</f>
        <v>127.76054154563299</v>
      </c>
      <c r="E10" s="2">
        <f>D10*$B$3/100</f>
        <v>12776054.154563298</v>
      </c>
      <c r="F10" s="9">
        <f>(E10-$B$4*$B$3/100)/($B$4*$B$3/100)</f>
        <v>-0.05132208766446984</v>
      </c>
    </row>
    <row r="11" spans="1:6" ht="12.75">
      <c r="A11" s="4">
        <v>2</v>
      </c>
      <c r="B11">
        <v>100</v>
      </c>
      <c r="C11" s="5">
        <f>$B$5+B11/10000</f>
        <v>0.06999999999999999</v>
      </c>
      <c r="D11" s="7">
        <f>PV(C11/2,$B$2*2,-$B$1/2,-100)</f>
        <v>121.35507233729751</v>
      </c>
      <c r="E11" s="2">
        <f>D11*$B$3/100</f>
        <v>12135507.233729752</v>
      </c>
      <c r="F11" s="9">
        <f>(E11-$B$4*$B$3/100)/($B$4*$B$3/100)</f>
        <v>-0.09888549873472388</v>
      </c>
    </row>
    <row r="12" spans="1:6" ht="12.75">
      <c r="A12" s="4">
        <v>3</v>
      </c>
      <c r="B12">
        <v>200</v>
      </c>
      <c r="C12" s="5">
        <f>$B$5+B12/10000</f>
        <v>0.08</v>
      </c>
      <c r="D12" s="7">
        <f>PV(C12/2,$B$2*2,-$B$1/2,-100)</f>
        <v>109.89638694171323</v>
      </c>
      <c r="E12" s="2">
        <f>D12*$B$3/100</f>
        <v>10989638.694171324</v>
      </c>
      <c r="F12" s="9">
        <f>(E12-$B$4*$B$3/100)/($B$4*$B$3/100)</f>
        <v>-0.18397125062400968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6" sqref="A6"/>
    </sheetView>
  </sheetViews>
  <sheetFormatPr defaultColWidth="8.8515625" defaultRowHeight="12.75"/>
  <cols>
    <col min="1" max="1" width="10.421875" style="0" bestFit="1" customWidth="1"/>
    <col min="2" max="5" width="10.421875" style="0" customWidth="1"/>
    <col min="6" max="6" width="11.421875" style="0" customWidth="1"/>
    <col min="7" max="7" width="12.140625" style="0" bestFit="1" customWidth="1"/>
  </cols>
  <sheetData>
    <row r="1" spans="1:10" ht="12.75">
      <c r="A1" s="13" t="s">
        <v>51</v>
      </c>
      <c r="B1" s="13" t="s">
        <v>1</v>
      </c>
      <c r="C1" s="13" t="s">
        <v>0</v>
      </c>
      <c r="D1" s="13" t="s">
        <v>4</v>
      </c>
      <c r="E1" s="13" t="s">
        <v>5</v>
      </c>
      <c r="F1" s="13" t="s">
        <v>52</v>
      </c>
      <c r="G1" s="13" t="s">
        <v>53</v>
      </c>
      <c r="H1" s="13" t="s">
        <v>58</v>
      </c>
      <c r="I1" s="13" t="s">
        <v>16</v>
      </c>
      <c r="J1" s="13" t="s">
        <v>54</v>
      </c>
    </row>
    <row r="2" spans="1:10" ht="12.75">
      <c r="A2" s="13" t="s">
        <v>12</v>
      </c>
      <c r="B2" s="48">
        <v>5</v>
      </c>
      <c r="C2">
        <v>10</v>
      </c>
      <c r="D2" s="49">
        <v>100</v>
      </c>
      <c r="E2" s="51">
        <v>0.1</v>
      </c>
      <c r="F2" s="2">
        <v>4000000</v>
      </c>
      <c r="G2" s="2">
        <f>D2*F2/100</f>
        <v>4000000</v>
      </c>
      <c r="H2" s="20">
        <f>G2/$G$6</f>
        <v>0.4162347797249125</v>
      </c>
      <c r="I2">
        <v>3.861</v>
      </c>
      <c r="J2" s="27">
        <f>H2*I2</f>
        <v>1.6070824845178873</v>
      </c>
    </row>
    <row r="3" spans="1:10" ht="12.75">
      <c r="A3" s="13" t="s">
        <v>13</v>
      </c>
      <c r="B3" s="48">
        <v>15</v>
      </c>
      <c r="C3" s="6">
        <v>8</v>
      </c>
      <c r="D3" s="49">
        <v>84.6275</v>
      </c>
      <c r="E3" s="51">
        <v>0.1</v>
      </c>
      <c r="F3" s="2">
        <v>5000000</v>
      </c>
      <c r="G3" s="2">
        <f>D3*F3/100</f>
        <v>4231375</v>
      </c>
      <c r="H3" s="20">
        <f>G3/$G$6</f>
        <v>0.4403113602646254</v>
      </c>
      <c r="I3">
        <v>8.047</v>
      </c>
      <c r="J3" s="27">
        <f>H3*I3</f>
        <v>3.543185516049441</v>
      </c>
    </row>
    <row r="4" spans="1:10" ht="12.75">
      <c r="A4" s="13" t="s">
        <v>15</v>
      </c>
      <c r="B4" s="48">
        <v>20</v>
      </c>
      <c r="C4" s="46">
        <v>14</v>
      </c>
      <c r="D4" s="50">
        <v>137.8586</v>
      </c>
      <c r="E4" s="51">
        <v>0.1</v>
      </c>
      <c r="F4" s="2">
        <v>1000000</v>
      </c>
      <c r="G4" s="2">
        <f>D4*F4/100</f>
        <v>1378586</v>
      </c>
      <c r="H4" s="20">
        <f>G4/$G$6</f>
        <v>0.14345386001046206</v>
      </c>
      <c r="I4">
        <v>9.168</v>
      </c>
      <c r="J4" s="27">
        <f>H4*I4</f>
        <v>1.3151849885759161</v>
      </c>
    </row>
    <row r="5" spans="3:5" ht="12.75">
      <c r="C5" s="13"/>
      <c r="D5" s="13"/>
      <c r="E5" s="13"/>
    </row>
    <row r="6" spans="1:10" ht="12.75">
      <c r="A6" s="13"/>
      <c r="B6" s="13"/>
      <c r="C6" s="13"/>
      <c r="D6" s="13"/>
      <c r="E6" s="13"/>
      <c r="G6" s="2">
        <f>SUM(G2:G4)</f>
        <v>9609961</v>
      </c>
      <c r="H6" s="52">
        <f>SUM(H2:H4)</f>
        <v>1</v>
      </c>
      <c r="J6" s="27">
        <f>SUM(J2:J4)</f>
        <v>6.465452989143245</v>
      </c>
    </row>
    <row r="7" spans="1:5" ht="12.75">
      <c r="A7" s="13"/>
      <c r="B7" s="13"/>
      <c r="C7" s="42"/>
      <c r="D7" s="42"/>
      <c r="E7" s="42"/>
    </row>
    <row r="8" spans="3:5" ht="12.75">
      <c r="C8" s="44"/>
      <c r="D8" s="44"/>
      <c r="E8" s="43"/>
    </row>
    <row r="9" spans="3:5" ht="12.75">
      <c r="C9" s="44"/>
      <c r="D9" s="44"/>
      <c r="E9" s="43"/>
    </row>
    <row r="10" spans="2:5" ht="12.75">
      <c r="B10" s="53"/>
      <c r="C10" s="44"/>
      <c r="D10" s="44"/>
      <c r="E10" s="43"/>
    </row>
    <row r="11" spans="3:5" ht="12.75">
      <c r="C11" s="44"/>
      <c r="D11" s="44"/>
      <c r="E11" s="43"/>
    </row>
    <row r="12" spans="3:5" ht="12.75">
      <c r="C12" s="44"/>
      <c r="D12" s="44"/>
      <c r="E12" s="43"/>
    </row>
    <row r="13" spans="3:6" ht="12.75">
      <c r="C13" s="44"/>
      <c r="D13" s="44"/>
      <c r="E13" s="43"/>
      <c r="F13" s="16"/>
    </row>
    <row r="14" spans="3:6" ht="12.75">
      <c r="C14" s="44"/>
      <c r="D14" s="44"/>
      <c r="E14" s="43"/>
      <c r="F14" s="16"/>
    </row>
    <row r="15" spans="3:6" ht="12.75">
      <c r="C15" s="44"/>
      <c r="D15" s="44"/>
      <c r="E15" s="43"/>
      <c r="F15" s="16"/>
    </row>
    <row r="16" spans="3:6" ht="12.75">
      <c r="C16" s="44"/>
      <c r="D16" s="44"/>
      <c r="E16" s="43"/>
      <c r="F16" s="16"/>
    </row>
    <row r="17" spans="3:6" ht="12.75">
      <c r="C17" s="44"/>
      <c r="D17" s="44"/>
      <c r="E17" s="43"/>
      <c r="F17" s="16"/>
    </row>
    <row r="18" spans="1:5" ht="12.75">
      <c r="A18" s="13"/>
      <c r="B18" s="13"/>
      <c r="C18" s="13"/>
      <c r="D18" s="13"/>
      <c r="E18" s="13"/>
    </row>
    <row r="19" spans="1:5" ht="12.75">
      <c r="A19" s="33"/>
      <c r="B19" s="33"/>
      <c r="C19" s="35"/>
      <c r="D19" s="35"/>
      <c r="E19" s="35"/>
    </row>
    <row r="20" spans="1:5" ht="12.75">
      <c r="A20" s="14"/>
      <c r="B20" s="14"/>
      <c r="C20" s="18"/>
      <c r="D20" s="18"/>
      <c r="E20" s="18"/>
    </row>
    <row r="21" spans="1:5" ht="12.75">
      <c r="A21" s="14"/>
      <c r="B21" s="14"/>
      <c r="C21" s="18"/>
      <c r="D21" s="18"/>
      <c r="E21" s="18"/>
    </row>
    <row r="22" spans="1:5" ht="12.75">
      <c r="A22" s="15"/>
      <c r="B22" s="15"/>
      <c r="C22" s="47"/>
      <c r="D22" s="18"/>
      <c r="E22" s="18"/>
    </row>
    <row r="23" spans="3:5" ht="12.75"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12.75">
      <c r="A25" s="13"/>
      <c r="B25" s="13"/>
      <c r="C25" s="34"/>
      <c r="D25" s="34"/>
      <c r="E25" s="34"/>
    </row>
    <row r="31" ht="12.75">
      <c r="F31" s="16"/>
    </row>
    <row r="32" ht="12.75">
      <c r="F32" s="16"/>
    </row>
    <row r="33" ht="12.75">
      <c r="F33" s="16"/>
    </row>
    <row r="34" spans="1:5" ht="12.75">
      <c r="A34" s="13"/>
      <c r="B34" s="13"/>
      <c r="C34" s="13"/>
      <c r="D34" s="13"/>
      <c r="E34" s="13"/>
    </row>
    <row r="35" spans="1:5" ht="12.75">
      <c r="A35" s="33"/>
      <c r="B35" s="33"/>
      <c r="C35" s="35"/>
      <c r="D35" s="35"/>
      <c r="E35" s="35"/>
    </row>
    <row r="36" spans="1:5" ht="12.75">
      <c r="A36" s="14"/>
      <c r="B36" s="14"/>
      <c r="C36" s="18"/>
      <c r="D36" s="18"/>
      <c r="E36" s="1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32" sqref="D32"/>
    </sheetView>
  </sheetViews>
  <sheetFormatPr defaultColWidth="8.8515625" defaultRowHeight="12.75"/>
  <cols>
    <col min="2" max="2" width="16.00390625" style="0" customWidth="1"/>
    <col min="3" max="3" width="11.00390625" style="0" bestFit="1" customWidth="1"/>
    <col min="4" max="4" width="11.421875" style="0" customWidth="1"/>
    <col min="5" max="5" width="13.00390625" style="0" customWidth="1"/>
    <col min="6" max="6" width="14.421875" style="0" bestFit="1" customWidth="1"/>
  </cols>
  <sheetData>
    <row r="1" ht="12.75">
      <c r="A1" s="54" t="s">
        <v>12</v>
      </c>
    </row>
    <row r="2" spans="1:2" ht="12.75">
      <c r="A2" s="3" t="s">
        <v>0</v>
      </c>
      <c r="B2" s="6">
        <v>6</v>
      </c>
    </row>
    <row r="3" spans="1:3" ht="12.75">
      <c r="A3" s="3" t="s">
        <v>1</v>
      </c>
      <c r="B3">
        <v>5</v>
      </c>
      <c r="C3" t="s">
        <v>2</v>
      </c>
    </row>
    <row r="4" spans="1:2" ht="12.75">
      <c r="A4" s="3" t="s">
        <v>3</v>
      </c>
      <c r="B4" s="2">
        <v>5000000</v>
      </c>
    </row>
    <row r="5" spans="1:2" ht="12.75">
      <c r="A5" s="3" t="s">
        <v>4</v>
      </c>
      <c r="B5">
        <v>104.376</v>
      </c>
    </row>
    <row r="6" spans="1:2" ht="12.75">
      <c r="A6" s="3" t="s">
        <v>5</v>
      </c>
      <c r="B6" s="1">
        <v>0.05</v>
      </c>
    </row>
    <row r="8" spans="1:6" ht="12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ht="12.75">
      <c r="A9" s="4">
        <v>0</v>
      </c>
      <c r="B9">
        <v>0</v>
      </c>
      <c r="C9" s="5">
        <f>$B$6+B9/10000</f>
        <v>0.05</v>
      </c>
      <c r="D9" s="7">
        <f>PV(C9/2,$B$3*2,-$B$2/2,-100)</f>
        <v>104.37603196548547</v>
      </c>
      <c r="E9" s="2">
        <f>D9*$B$4/100</f>
        <v>5218801.598274273</v>
      </c>
      <c r="F9" s="10">
        <f>(E9-$B$5*$B$4/100)/($B$5*$B$4/100)</f>
        <v>3.0625321393166E-07</v>
      </c>
    </row>
    <row r="10" spans="1:6" ht="12.75">
      <c r="A10" s="4">
        <v>1</v>
      </c>
      <c r="B10">
        <v>50</v>
      </c>
      <c r="C10" s="5">
        <f>$B$6+B10/10000</f>
        <v>0.055</v>
      </c>
      <c r="D10" s="7">
        <f>PV(C10/2,$B$3*2,-$B$2/2,-100)</f>
        <v>102.16001904084719</v>
      </c>
      <c r="E10" s="2">
        <f>D10*$B$4/100</f>
        <v>5108000.95204236</v>
      </c>
      <c r="F10" s="11">
        <f>(E10-$B$5*$B$4/100)/($B$5*$B$4/100)</f>
        <v>-0.02123075188887103</v>
      </c>
    </row>
    <row r="11" spans="1:6" ht="12.75">
      <c r="A11" s="4">
        <v>2</v>
      </c>
      <c r="B11">
        <v>100</v>
      </c>
      <c r="C11" s="5">
        <f>$B$6+B11/10000</f>
        <v>0.060000000000000005</v>
      </c>
      <c r="D11" s="7">
        <f>PV(C11/2,$B$3*2,-$B$2/2,-100)</f>
        <v>100.00000000000001</v>
      </c>
      <c r="E11" s="2">
        <f>D11*$B$4/100</f>
        <v>5000000.000000001</v>
      </c>
      <c r="F11" s="11">
        <f>(E11-$B$5*$B$4/100)/($B$5*$B$4/100)</f>
        <v>-0.04192534682302427</v>
      </c>
    </row>
    <row r="12" spans="1:6" ht="12.75">
      <c r="A12" s="4">
        <v>3</v>
      </c>
      <c r="B12">
        <v>200</v>
      </c>
      <c r="C12" s="5">
        <f>$B$6+B12/10000</f>
        <v>0.07</v>
      </c>
      <c r="D12" s="7">
        <f>PV(C12/2,$B$3*2,-$B$2/2,-100)</f>
        <v>95.84169733871101</v>
      </c>
      <c r="E12" s="2">
        <f>D12*$B$4/100</f>
        <v>4792084.86693555</v>
      </c>
      <c r="F12" s="11">
        <f>(E12-$B$5*$B$4/100)/($B$5*$B$4/100)</f>
        <v>-0.08176499062321793</v>
      </c>
    </row>
    <row r="15" ht="12.75">
      <c r="A15" s="54" t="s">
        <v>13</v>
      </c>
    </row>
    <row r="16" spans="1:2" ht="12.75">
      <c r="A16" s="3" t="s">
        <v>0</v>
      </c>
      <c r="B16" s="6">
        <v>9</v>
      </c>
    </row>
    <row r="17" spans="1:3" ht="12.75">
      <c r="A17" s="3" t="s">
        <v>1</v>
      </c>
      <c r="B17">
        <v>20</v>
      </c>
      <c r="C17" t="s">
        <v>2</v>
      </c>
    </row>
    <row r="18" spans="1:2" ht="12.75">
      <c r="A18" s="3" t="s">
        <v>3</v>
      </c>
      <c r="B18" s="2">
        <v>10000000</v>
      </c>
    </row>
    <row r="19" spans="1:2" ht="12.75">
      <c r="A19" s="3" t="s">
        <v>4</v>
      </c>
      <c r="B19">
        <v>134.6722</v>
      </c>
    </row>
    <row r="20" spans="1:2" ht="12.75">
      <c r="A20" s="3" t="s">
        <v>5</v>
      </c>
      <c r="B20" s="1">
        <v>0.06</v>
      </c>
    </row>
    <row r="22" spans="1:6" ht="12.75">
      <c r="A22" s="3" t="s">
        <v>6</v>
      </c>
      <c r="B22" s="3" t="s">
        <v>7</v>
      </c>
      <c r="C22" s="3" t="s">
        <v>8</v>
      </c>
      <c r="D22" s="3" t="s">
        <v>9</v>
      </c>
      <c r="E22" s="3" t="s">
        <v>10</v>
      </c>
      <c r="F22" s="3" t="s">
        <v>11</v>
      </c>
    </row>
    <row r="23" spans="1:6" ht="12.75">
      <c r="A23" s="4">
        <v>0</v>
      </c>
      <c r="B23">
        <v>0</v>
      </c>
      <c r="C23" s="5">
        <f>$B$20+B23/10000</f>
        <v>0.06</v>
      </c>
      <c r="D23" s="7">
        <f>PV(C23/2,$B$17*2,-$B$16/2,-100)</f>
        <v>134.67215796130964</v>
      </c>
      <c r="E23" s="2">
        <f>D23*$B$18/100</f>
        <v>13467215.796130965</v>
      </c>
      <c r="F23" s="12">
        <f>(E23-$B$19*$B$18/100)/($B$19*$B$18/100)</f>
        <v>-3.1215566653455615E-07</v>
      </c>
    </row>
    <row r="24" spans="1:6" ht="12.75">
      <c r="A24" s="4">
        <v>1</v>
      </c>
      <c r="B24">
        <v>50</v>
      </c>
      <c r="C24" s="5">
        <f>$B$20+B24/10000</f>
        <v>0.065</v>
      </c>
      <c r="D24" s="7">
        <f>PV(C24/2,$B$17*2,-$B$16/2,-100)</f>
        <v>127.76054154563299</v>
      </c>
      <c r="E24" s="2">
        <f>D24*$B$18/100</f>
        <v>12776054.154563298</v>
      </c>
      <c r="F24" s="11">
        <f>(E24-$B$19*$B$18/100)/($B$19*$B$18/100)</f>
        <v>-0.05132208766446984</v>
      </c>
    </row>
    <row r="25" spans="1:6" ht="12.75">
      <c r="A25" s="4">
        <v>2</v>
      </c>
      <c r="B25">
        <v>100</v>
      </c>
      <c r="C25" s="5">
        <f>$B$20+B25/10000</f>
        <v>0.06999999999999999</v>
      </c>
      <c r="D25" s="7">
        <f>PV(C25/2,$B$17*2,-$B$16/2,-100)</f>
        <v>121.35507233729751</v>
      </c>
      <c r="E25" s="2">
        <f>D25*$B$18/100</f>
        <v>12135507.233729752</v>
      </c>
      <c r="F25" s="11">
        <f>(E25-$B$19*$B$18/100)/($B$19*$B$18/100)</f>
        <v>-0.09888549873472388</v>
      </c>
    </row>
    <row r="26" spans="1:6" ht="12.75">
      <c r="A26" s="4">
        <v>3</v>
      </c>
      <c r="B26">
        <v>200</v>
      </c>
      <c r="C26" s="5">
        <f>$B$20+B26/10000</f>
        <v>0.08</v>
      </c>
      <c r="D26" s="7">
        <f>PV(C26/2,$B$17*2,-$B$16/2,-100)</f>
        <v>109.89638694171323</v>
      </c>
      <c r="E26" s="2">
        <f>D26*$B$18/100</f>
        <v>10989638.694171324</v>
      </c>
      <c r="F26" s="11">
        <f>(E26-$B$19*$B$18/100)/($B$19*$B$18/100)</f>
        <v>-0.18397125062400968</v>
      </c>
    </row>
    <row r="29" ht="12.75">
      <c r="A29" s="55" t="s">
        <v>14</v>
      </c>
    </row>
    <row r="31" spans="1:5" ht="12.75">
      <c r="A31" s="3" t="s">
        <v>6</v>
      </c>
      <c r="B31" s="3" t="s">
        <v>7</v>
      </c>
      <c r="C31" s="3" t="s">
        <v>8</v>
      </c>
      <c r="D31" s="3" t="s">
        <v>10</v>
      </c>
      <c r="E31" s="3" t="s">
        <v>11</v>
      </c>
    </row>
    <row r="32" spans="1:5" ht="12.75">
      <c r="A32" s="4">
        <v>0</v>
      </c>
      <c r="B32">
        <v>0</v>
      </c>
      <c r="C32" s="5">
        <f>$B$20+B32/10000</f>
        <v>0.06</v>
      </c>
      <c r="D32" s="2">
        <f>E23+E9</f>
        <v>18686017.39440524</v>
      </c>
      <c r="E32" s="12">
        <v>0</v>
      </c>
    </row>
    <row r="33" spans="1:5" ht="12.75">
      <c r="A33" s="4">
        <v>1</v>
      </c>
      <c r="B33">
        <v>50</v>
      </c>
      <c r="C33" s="5">
        <f>$B$20+B33/10000</f>
        <v>0.065</v>
      </c>
      <c r="D33" s="2">
        <f>E24+E10</f>
        <v>17884055.106605656</v>
      </c>
      <c r="E33" s="11">
        <f>(D33-$D$32)/$D$32</f>
        <v>-0.042917774872654066</v>
      </c>
    </row>
    <row r="34" spans="1:5" ht="12.75">
      <c r="A34" s="4">
        <v>2</v>
      </c>
      <c r="B34">
        <v>100</v>
      </c>
      <c r="C34" s="5">
        <f>$B$20+B34/10000</f>
        <v>0.06999999999999999</v>
      </c>
      <c r="D34" s="2">
        <f>E25+E11</f>
        <v>17135507.233729754</v>
      </c>
      <c r="E34" s="11">
        <f>(D34-$D$32)/$D$32</f>
        <v>-0.08297702650858718</v>
      </c>
    </row>
    <row r="35" spans="1:5" ht="12.75">
      <c r="A35" s="4">
        <v>3</v>
      </c>
      <c r="B35">
        <v>200</v>
      </c>
      <c r="C35" s="5">
        <f>$B$20+B35/10000</f>
        <v>0.08</v>
      </c>
      <c r="D35" s="2">
        <f>E26+E12</f>
        <v>15781723.561106876</v>
      </c>
      <c r="E35" s="11">
        <f>(D35-$D$32)/$D$32</f>
        <v>-0.1554260478301778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8" sqref="D18"/>
    </sheetView>
  </sheetViews>
  <sheetFormatPr defaultColWidth="8.8515625" defaultRowHeight="12.75"/>
  <cols>
    <col min="2" max="2" width="16.00390625" style="0" customWidth="1"/>
    <col min="3" max="3" width="11.00390625" style="0" bestFit="1" customWidth="1"/>
    <col min="4" max="4" width="11.421875" style="0" customWidth="1"/>
    <col min="5" max="5" width="13.00390625" style="0" customWidth="1"/>
    <col min="6" max="6" width="14.421875" style="0" bestFit="1" customWidth="1"/>
  </cols>
  <sheetData>
    <row r="1" ht="12.75">
      <c r="A1" s="54" t="s">
        <v>12</v>
      </c>
    </row>
    <row r="2" spans="1:2" ht="12.75">
      <c r="A2" s="3" t="s">
        <v>0</v>
      </c>
      <c r="B2" s="6">
        <v>6</v>
      </c>
    </row>
    <row r="3" spans="1:3" ht="12.75">
      <c r="A3" s="3" t="s">
        <v>1</v>
      </c>
      <c r="B3">
        <v>5</v>
      </c>
      <c r="C3" t="s">
        <v>2</v>
      </c>
    </row>
    <row r="4" spans="1:2" ht="12.75">
      <c r="A4" s="3" t="s">
        <v>3</v>
      </c>
      <c r="B4" s="2">
        <v>5000000</v>
      </c>
    </row>
    <row r="5" spans="1:2" ht="12.75">
      <c r="A5" s="3" t="s">
        <v>4</v>
      </c>
      <c r="B5">
        <v>104.376</v>
      </c>
    </row>
    <row r="6" spans="1:2" ht="12.75">
      <c r="A6" s="3" t="s">
        <v>5</v>
      </c>
      <c r="B6" s="1">
        <v>0.05</v>
      </c>
    </row>
    <row r="8" spans="1:6" ht="12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ht="12.75">
      <c r="A9" s="4">
        <v>0</v>
      </c>
      <c r="B9">
        <v>0</v>
      </c>
      <c r="C9" s="5">
        <f>$B$6+B9/10000</f>
        <v>0.05</v>
      </c>
      <c r="D9" s="7">
        <f>PV(C9/2,$B$3*2,-$B$2/2,-100)</f>
        <v>104.37603196548547</v>
      </c>
      <c r="E9" s="2">
        <f>D9*$B$4/100</f>
        <v>5218801.598274273</v>
      </c>
      <c r="F9" s="10">
        <f>(E9-$B$5*$B$4/100)/($B$5*$B$4/100)</f>
        <v>3.0625321393166E-07</v>
      </c>
    </row>
    <row r="10" spans="1:6" ht="12.75">
      <c r="A10" s="4">
        <v>1</v>
      </c>
      <c r="B10">
        <v>50</v>
      </c>
      <c r="C10" s="5">
        <f>$B$6+B10/10000</f>
        <v>0.055</v>
      </c>
      <c r="D10" s="7">
        <f>PV(C10/2,$B$3*2,-$B$2/2,-100)</f>
        <v>102.16001904084719</v>
      </c>
      <c r="E10" s="2">
        <f>D10*$B$4/100</f>
        <v>5108000.95204236</v>
      </c>
      <c r="F10" s="11">
        <f>(E10-$B$5*$B$4/100)/($B$5*$B$4/100)</f>
        <v>-0.02123075188887103</v>
      </c>
    </row>
    <row r="11" spans="1:6" ht="12.75">
      <c r="A11" s="4">
        <v>2</v>
      </c>
      <c r="B11">
        <v>100</v>
      </c>
      <c r="C11" s="5">
        <f>$B$6+B11/10000</f>
        <v>0.060000000000000005</v>
      </c>
      <c r="D11" s="7">
        <f>PV(C11/2,$B$3*2,-$B$2/2,-100)</f>
        <v>100.00000000000001</v>
      </c>
      <c r="E11" s="2">
        <f>D11*$B$4/100</f>
        <v>5000000.000000001</v>
      </c>
      <c r="F11" s="11">
        <f>(E11-$B$5*$B$4/100)/($B$5*$B$4/100)</f>
        <v>-0.04192534682302427</v>
      </c>
    </row>
    <row r="12" spans="1:6" ht="12.75">
      <c r="A12" s="4">
        <v>3</v>
      </c>
      <c r="B12">
        <v>200</v>
      </c>
      <c r="C12" s="5">
        <f>$B$6+B12/10000</f>
        <v>0.07</v>
      </c>
      <c r="D12" s="7">
        <f>PV(C12/2,$B$3*2,-$B$2/2,-100)</f>
        <v>95.84169733871101</v>
      </c>
      <c r="E12" s="2">
        <f>D12*$B$4/100</f>
        <v>4792084.86693555</v>
      </c>
      <c r="F12" s="11">
        <f>(E12-$B$5*$B$4/100)/($B$5*$B$4/100)</f>
        <v>-0.08176499062321793</v>
      </c>
    </row>
    <row r="15" ht="12.75">
      <c r="A15" s="54" t="s">
        <v>13</v>
      </c>
    </row>
    <row r="16" spans="1:2" ht="12.75">
      <c r="A16" s="3" t="s">
        <v>0</v>
      </c>
      <c r="B16" s="6">
        <v>9</v>
      </c>
    </row>
    <row r="17" spans="1:3" ht="12.75">
      <c r="A17" s="3" t="s">
        <v>1</v>
      </c>
      <c r="B17">
        <v>20</v>
      </c>
      <c r="C17" t="s">
        <v>2</v>
      </c>
    </row>
    <row r="18" spans="1:2" ht="12.75">
      <c r="A18" s="3" t="s">
        <v>3</v>
      </c>
      <c r="B18" s="2">
        <v>10000000</v>
      </c>
    </row>
    <row r="19" spans="1:2" ht="12.75">
      <c r="A19" s="3" t="s">
        <v>4</v>
      </c>
      <c r="B19">
        <v>134.6722</v>
      </c>
    </row>
    <row r="20" spans="1:2" ht="12.75">
      <c r="A20" s="3" t="s">
        <v>5</v>
      </c>
      <c r="B20" s="1">
        <v>0.06</v>
      </c>
    </row>
    <row r="22" spans="1:6" ht="12.75">
      <c r="A22" s="3" t="s">
        <v>6</v>
      </c>
      <c r="B22" s="3" t="s">
        <v>7</v>
      </c>
      <c r="C22" s="3" t="s">
        <v>8</v>
      </c>
      <c r="D22" s="3" t="s">
        <v>9</v>
      </c>
      <c r="E22" s="3" t="s">
        <v>10</v>
      </c>
      <c r="F22" s="3" t="s">
        <v>11</v>
      </c>
    </row>
    <row r="23" spans="1:6" ht="12.75">
      <c r="A23" s="4">
        <v>0</v>
      </c>
      <c r="B23">
        <v>0</v>
      </c>
      <c r="C23" s="5">
        <f>$B$20+B23/10000</f>
        <v>0.06</v>
      </c>
      <c r="D23" s="7">
        <f>PV(C23/2,$B$17*2,-$B$16/2,-100)</f>
        <v>134.67215796130964</v>
      </c>
      <c r="E23" s="2">
        <f>D23*$B$18/100</f>
        <v>13467215.796130965</v>
      </c>
      <c r="F23" s="12">
        <f>(E23-$B$19*$B$18/100)/($B$19*$B$18/100)</f>
        <v>-3.1215566653455615E-07</v>
      </c>
    </row>
    <row r="24" spans="1:6" ht="12.75">
      <c r="A24" s="4">
        <v>1</v>
      </c>
      <c r="B24">
        <v>10</v>
      </c>
      <c r="C24" s="5">
        <f>$B$20+B24/10000</f>
        <v>0.061</v>
      </c>
      <c r="D24" s="7">
        <f>PV(C24/2,$B$17*2,-$B$16/2,-100)</f>
        <v>133.24716329432422</v>
      </c>
      <c r="E24" s="2">
        <f>D24*$B$18/100</f>
        <v>13324716.329432422</v>
      </c>
      <c r="F24" s="11">
        <f>(E24-$B$19*$B$18/100)/($B$19*$B$18/100)</f>
        <v>-0.010581520949949411</v>
      </c>
    </row>
    <row r="25" spans="1:6" ht="12.75">
      <c r="A25" s="4">
        <v>2</v>
      </c>
      <c r="B25">
        <v>50</v>
      </c>
      <c r="C25" s="5">
        <f>$B$20+B25/10000</f>
        <v>0.065</v>
      </c>
      <c r="D25" s="7">
        <f>PV(C25/2,$B$17*2,-$B$16/2,-100)</f>
        <v>127.76054154563299</v>
      </c>
      <c r="E25" s="2">
        <f>D25*$B$18/100</f>
        <v>12776054.154563298</v>
      </c>
      <c r="F25" s="11">
        <f>(E25-$B$19*$B$18/100)/($B$19*$B$18/100)</f>
        <v>-0.05132208766446984</v>
      </c>
    </row>
    <row r="26" spans="1:6" ht="12.75">
      <c r="A26" s="4">
        <v>3</v>
      </c>
      <c r="B26">
        <v>100</v>
      </c>
      <c r="C26" s="5">
        <f>$B$20+B26/10000</f>
        <v>0.06999999999999999</v>
      </c>
      <c r="D26" s="7">
        <f>PV(C26/2,$B$17*2,-$B$16/2,-100)</f>
        <v>121.35507233729751</v>
      </c>
      <c r="E26" s="2">
        <f>D26*$B$18/100</f>
        <v>12135507.233729752</v>
      </c>
      <c r="F26" s="11">
        <f>(E26-$B$19*$B$18/100)/($B$19*$B$18/100)</f>
        <v>-0.09888549873472388</v>
      </c>
    </row>
    <row r="29" ht="12.75">
      <c r="A29" s="55" t="s">
        <v>14</v>
      </c>
    </row>
    <row r="31" spans="1:3" ht="12.75">
      <c r="A31" s="3" t="s">
        <v>6</v>
      </c>
      <c r="B31" s="3" t="s">
        <v>10</v>
      </c>
      <c r="C31" s="3" t="s">
        <v>11</v>
      </c>
    </row>
    <row r="32" spans="1:3" ht="12.75">
      <c r="A32" s="4">
        <v>0</v>
      </c>
      <c r="B32" s="2">
        <f>E23+E9</f>
        <v>18686017.39440524</v>
      </c>
      <c r="C32" s="12">
        <v>0</v>
      </c>
    </row>
    <row r="33" spans="1:3" ht="12.75">
      <c r="A33" s="4">
        <v>1</v>
      </c>
      <c r="B33" s="2">
        <f>E24+E10</f>
        <v>18432717.281474784</v>
      </c>
      <c r="C33" s="11">
        <f>(B33-$B$32)/$B$32</f>
        <v>-0.013555596550300475</v>
      </c>
    </row>
    <row r="34" spans="1:3" ht="12.75">
      <c r="A34" s="4">
        <v>2</v>
      </c>
      <c r="B34" s="2">
        <f>E25+E11</f>
        <v>17776054.1545633</v>
      </c>
      <c r="C34" s="11">
        <f>(B34-$B$32)/$B$32</f>
        <v>-0.048697548580597445</v>
      </c>
    </row>
    <row r="35" spans="1:3" ht="12.75">
      <c r="A35" s="4">
        <v>3</v>
      </c>
      <c r="B35" s="2">
        <f>E26+E12</f>
        <v>16927592.1006653</v>
      </c>
      <c r="C35" s="11">
        <f>(B35-$B$32)/$B$32</f>
        <v>-0.09410380267902488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1" sqref="E21"/>
    </sheetView>
  </sheetViews>
  <sheetFormatPr defaultColWidth="8.8515625" defaultRowHeight="12.75"/>
  <cols>
    <col min="1" max="1" width="12.7109375" style="0" bestFit="1" customWidth="1"/>
    <col min="2" max="2" width="10.421875" style="0" customWidth="1"/>
    <col min="3" max="3" width="11.00390625" style="0" bestFit="1" customWidth="1"/>
    <col min="4" max="4" width="11.421875" style="0" customWidth="1"/>
    <col min="5" max="5" width="13.00390625" style="0" customWidth="1"/>
    <col min="6" max="6" width="14.421875" style="0" bestFit="1" customWidth="1"/>
  </cols>
  <sheetData>
    <row r="1" spans="1:5" ht="12.75">
      <c r="A1" s="3" t="s">
        <v>0</v>
      </c>
      <c r="B1">
        <v>6</v>
      </c>
      <c r="C1">
        <v>6</v>
      </c>
      <c r="D1">
        <v>9</v>
      </c>
      <c r="E1">
        <v>9</v>
      </c>
    </row>
    <row r="2" spans="1:5" ht="12.75">
      <c r="A2" s="3" t="s">
        <v>1</v>
      </c>
      <c r="B2">
        <v>5</v>
      </c>
      <c r="C2">
        <v>20</v>
      </c>
      <c r="D2">
        <v>5</v>
      </c>
      <c r="E2">
        <v>20</v>
      </c>
    </row>
    <row r="3" spans="1:2" ht="12.75">
      <c r="A3" s="3"/>
      <c r="B3" s="1"/>
    </row>
    <row r="4" spans="1:5" ht="12.75">
      <c r="A4" s="13" t="s">
        <v>5</v>
      </c>
      <c r="B4" s="13" t="s">
        <v>12</v>
      </c>
      <c r="C4" s="13" t="s">
        <v>13</v>
      </c>
      <c r="D4" s="13" t="s">
        <v>15</v>
      </c>
      <c r="E4" s="13" t="s">
        <v>16</v>
      </c>
    </row>
    <row r="5" spans="1:5" ht="12.75">
      <c r="A5" s="14">
        <v>0.04</v>
      </c>
      <c r="B5" s="16">
        <f>-PV(A5/2,$B$2*2,$B$1/2,100)</f>
        <v>108.98258500624222</v>
      </c>
      <c r="C5" s="16">
        <f>-PV(A5/2,$C$2*2,$C$1/2,100)</f>
        <v>127.35547924073818</v>
      </c>
      <c r="D5" s="16">
        <f>-PV(A5/2,$D$2*2,$D$1/2,100)</f>
        <v>122.4564625156056</v>
      </c>
      <c r="E5" s="16">
        <f>-PV(A5/2,$E$2*2,$E$1/2,100)</f>
        <v>168.38869810184545</v>
      </c>
    </row>
    <row r="6" spans="1:5" ht="12.75">
      <c r="A6" s="14">
        <v>0.05</v>
      </c>
      <c r="B6" s="16">
        <f aca="true" t="shared" si="0" ref="B6:B16">-PV(A6/2,$B$2*2,$B$1/2,100)</f>
        <v>104.37603196548547</v>
      </c>
      <c r="C6" s="16">
        <f aca="true" t="shared" si="1" ref="C6:C16">-PV(A6/2,$C$2*2,$C$1/2,100)</f>
        <v>112.55138752604387</v>
      </c>
      <c r="D6" s="16">
        <f aca="true" t="shared" si="2" ref="D6:D16">-PV(A6/2,$D$2*2,$D$1/2,100)</f>
        <v>117.50412786194184</v>
      </c>
      <c r="E6" s="16">
        <f aca="true" t="shared" si="3" ref="E6:E16">-PV(A6/2,$E$2*2,$E$1/2,100)</f>
        <v>150.20555010417553</v>
      </c>
    </row>
    <row r="7" spans="1:5" ht="12.75">
      <c r="A7" s="15">
        <v>0.055</v>
      </c>
      <c r="B7" s="16">
        <f t="shared" si="0"/>
        <v>102.16001904084719</v>
      </c>
      <c r="C7" s="16">
        <f t="shared" si="1"/>
        <v>106.01952526501199</v>
      </c>
      <c r="D7" s="16">
        <f t="shared" si="2"/>
        <v>115.1201332859303</v>
      </c>
      <c r="E7" s="16">
        <f t="shared" si="3"/>
        <v>142.1366768550839</v>
      </c>
    </row>
    <row r="8" spans="1:5" ht="12.75">
      <c r="A8" s="15">
        <v>0.059</v>
      </c>
      <c r="B8" s="16">
        <f t="shared" si="0"/>
        <v>100.42760053557828</v>
      </c>
      <c r="C8" s="16">
        <f t="shared" si="1"/>
        <v>101.16513721674795</v>
      </c>
      <c r="D8" s="16">
        <f t="shared" si="2"/>
        <v>113.25561660292658</v>
      </c>
      <c r="E8" s="16">
        <f t="shared" si="3"/>
        <v>136.11925371918616</v>
      </c>
    </row>
    <row r="9" spans="1:5" ht="12.75">
      <c r="A9" s="15">
        <v>0.0599</v>
      </c>
      <c r="B9" s="16">
        <f t="shared" si="0"/>
        <v>100.04266189950026</v>
      </c>
      <c r="C9" s="16">
        <f t="shared" si="1"/>
        <v>100.11566733062695</v>
      </c>
      <c r="D9" s="16">
        <f t="shared" si="2"/>
        <v>112.84123174957598</v>
      </c>
      <c r="E9" s="16">
        <f t="shared" si="3"/>
        <v>134.81586651871498</v>
      </c>
    </row>
    <row r="10" spans="1:5" ht="12.75">
      <c r="A10" s="15">
        <v>0.06</v>
      </c>
      <c r="B10" s="16">
        <f t="shared" si="0"/>
        <v>100.00000000000001</v>
      </c>
      <c r="C10" s="16">
        <f t="shared" si="1"/>
        <v>100</v>
      </c>
      <c r="D10" s="16">
        <f t="shared" si="2"/>
        <v>112.79530425516376</v>
      </c>
      <c r="E10" s="16">
        <f t="shared" si="3"/>
        <v>134.67215796130964</v>
      </c>
    </row>
    <row r="11" spans="1:5" ht="12.75">
      <c r="A11" s="15">
        <v>0.0601</v>
      </c>
      <c r="B11" s="16">
        <f t="shared" si="0"/>
        <v>99.95735986700157</v>
      </c>
      <c r="C11" s="16">
        <f t="shared" si="1"/>
        <v>99.88451949696113</v>
      </c>
      <c r="D11" s="16">
        <f t="shared" si="2"/>
        <v>112.74939976653053</v>
      </c>
      <c r="E11" s="16">
        <f t="shared" si="3"/>
        <v>134.52867040862446</v>
      </c>
    </row>
    <row r="12" spans="1:5" ht="12.75">
      <c r="A12" s="15">
        <v>0.061</v>
      </c>
      <c r="B12" s="16">
        <f t="shared" si="0"/>
        <v>99.57457612096792</v>
      </c>
      <c r="C12" s="16">
        <f t="shared" si="1"/>
        <v>98.85354609329916</v>
      </c>
      <c r="D12" s="16">
        <f t="shared" si="2"/>
        <v>112.33729249193057</v>
      </c>
      <c r="E12" s="16">
        <f t="shared" si="3"/>
        <v>133.24716329432422</v>
      </c>
    </row>
    <row r="13" spans="1:5" ht="12.75">
      <c r="A13" s="15">
        <v>0.065</v>
      </c>
      <c r="B13" s="16">
        <f t="shared" si="0"/>
        <v>97.89440122988788</v>
      </c>
      <c r="C13" s="16">
        <f t="shared" si="1"/>
        <v>94.4478916908734</v>
      </c>
      <c r="D13" s="16">
        <f t="shared" si="2"/>
        <v>110.52799385056063</v>
      </c>
      <c r="E13" s="16">
        <f t="shared" si="3"/>
        <v>127.76054154563299</v>
      </c>
    </row>
    <row r="14" spans="1:5" ht="12.75">
      <c r="A14" s="15">
        <v>0.07</v>
      </c>
      <c r="B14" s="16">
        <f t="shared" si="0"/>
        <v>95.84169733871101</v>
      </c>
      <c r="C14" s="16">
        <f t="shared" si="1"/>
        <v>89.32246383135124</v>
      </c>
      <c r="D14" s="16">
        <f t="shared" si="2"/>
        <v>108.31660532257794</v>
      </c>
      <c r="E14" s="16">
        <f t="shared" si="3"/>
        <v>121.3550723372975</v>
      </c>
    </row>
    <row r="15" spans="1:5" ht="12.75">
      <c r="A15" s="15">
        <v>0.08</v>
      </c>
      <c r="B15" s="16">
        <f t="shared" si="0"/>
        <v>91.88910422064495</v>
      </c>
      <c r="C15" s="16">
        <f t="shared" si="1"/>
        <v>80.20722611657352</v>
      </c>
      <c r="D15" s="16">
        <f t="shared" si="2"/>
        <v>104.05544788967751</v>
      </c>
      <c r="E15" s="16">
        <f t="shared" si="3"/>
        <v>109.89638694171323</v>
      </c>
    </row>
    <row r="16" spans="1:5" ht="12.75">
      <c r="A16" s="15">
        <v>0.09</v>
      </c>
      <c r="B16" s="16">
        <f t="shared" si="0"/>
        <v>88.13092273433477</v>
      </c>
      <c r="C16" s="16">
        <f t="shared" si="1"/>
        <v>72.39762336958034</v>
      </c>
      <c r="D16" s="16">
        <f t="shared" si="2"/>
        <v>100</v>
      </c>
      <c r="E16" s="16">
        <f t="shared" si="3"/>
        <v>100</v>
      </c>
    </row>
    <row r="17" ht="12.75">
      <c r="A17" s="15"/>
    </row>
    <row r="18" spans="1:5" ht="12.75">
      <c r="A18" s="56" t="s">
        <v>28</v>
      </c>
      <c r="B18" s="57">
        <f>B16/B5-1</f>
        <v>-0.1913302228123247</v>
      </c>
      <c r="C18" s="57">
        <f>C16/C5-1</f>
        <v>-0.43153114572535833</v>
      </c>
      <c r="D18" s="57">
        <f>D16/D5-1</f>
        <v>-0.18338323722803762</v>
      </c>
      <c r="E18" s="57">
        <f>E16/E5-1</f>
        <v>-0.40613591572803986</v>
      </c>
    </row>
    <row r="19" spans="1:5" ht="12.75">
      <c r="A19" s="15"/>
      <c r="B19" s="3"/>
      <c r="C19" s="3"/>
      <c r="D19" s="3"/>
      <c r="E19" s="3"/>
    </row>
    <row r="20" spans="2:5" ht="12.75">
      <c r="B20" s="5"/>
      <c r="C20" s="7"/>
      <c r="D20" s="2"/>
      <c r="E20" s="12"/>
    </row>
    <row r="21" spans="2:5" ht="12.75">
      <c r="B21" s="5"/>
      <c r="C21" s="7"/>
      <c r="D21" s="2"/>
      <c r="E21" s="11"/>
    </row>
    <row r="22" spans="2:5" ht="12.75">
      <c r="B22" s="5"/>
      <c r="C22" s="7"/>
      <c r="D22" s="2"/>
      <c r="E22" s="11"/>
    </row>
    <row r="23" spans="2:5" ht="12.75">
      <c r="B23" s="5"/>
      <c r="C23" s="7"/>
      <c r="D23" s="2"/>
      <c r="E23" s="11"/>
    </row>
    <row r="28" spans="1:2" ht="12.75">
      <c r="A28" s="3"/>
      <c r="B28" s="3"/>
    </row>
    <row r="29" spans="1:2" ht="12.75">
      <c r="A29" s="2"/>
      <c r="B29" s="12"/>
    </row>
    <row r="30" spans="1:2" ht="12.75">
      <c r="A30" s="2"/>
      <c r="B30" s="11"/>
    </row>
    <row r="31" spans="1:2" ht="12.75">
      <c r="A31" s="2"/>
      <c r="B31" s="11"/>
    </row>
    <row r="32" spans="1:2" ht="12.75">
      <c r="A32" s="2"/>
      <c r="B32" s="1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19" sqref="F19"/>
    </sheetView>
  </sheetViews>
  <sheetFormatPr defaultColWidth="8.8515625" defaultRowHeight="12.75"/>
  <cols>
    <col min="2" max="2" width="10.421875" style="0" customWidth="1"/>
    <col min="3" max="3" width="11.00390625" style="0" bestFit="1" customWidth="1"/>
    <col min="4" max="4" width="11.421875" style="0" customWidth="1"/>
    <col min="5" max="5" width="13.00390625" style="0" customWidth="1"/>
    <col min="6" max="6" width="14.421875" style="0" bestFit="1" customWidth="1"/>
  </cols>
  <sheetData>
    <row r="1" spans="1:5" ht="12.75">
      <c r="A1" s="3" t="s">
        <v>0</v>
      </c>
      <c r="B1">
        <v>6</v>
      </c>
      <c r="C1">
        <v>6</v>
      </c>
      <c r="D1">
        <v>9</v>
      </c>
      <c r="E1">
        <v>9</v>
      </c>
    </row>
    <row r="2" spans="1:5" ht="12.75">
      <c r="A2" s="3" t="s">
        <v>1</v>
      </c>
      <c r="B2">
        <v>5</v>
      </c>
      <c r="C2">
        <v>20</v>
      </c>
      <c r="D2">
        <v>5</v>
      </c>
      <c r="E2">
        <v>20</v>
      </c>
    </row>
    <row r="3" spans="1:2" ht="12.75">
      <c r="A3" s="3"/>
      <c r="B3" s="1"/>
    </row>
    <row r="4" ht="12.75">
      <c r="A4" s="17" t="s">
        <v>17</v>
      </c>
    </row>
    <row r="5" spans="1:5" ht="12.75">
      <c r="A5" s="13" t="s">
        <v>5</v>
      </c>
      <c r="B5" s="13" t="s">
        <v>12</v>
      </c>
      <c r="C5" s="13" t="s">
        <v>13</v>
      </c>
      <c r="D5" s="13" t="s">
        <v>15</v>
      </c>
      <c r="E5" s="13" t="s">
        <v>16</v>
      </c>
    </row>
    <row r="6" spans="1:5" ht="12.75">
      <c r="A6" s="14">
        <v>0.06</v>
      </c>
      <c r="B6" s="16">
        <f>-PV(A6/2,$B$2*2,$B$1/2,100)</f>
        <v>100.00000000000001</v>
      </c>
      <c r="C6" s="16">
        <f>-PV(A6/2,$C$2*2,$C$1/2,100)</f>
        <v>100</v>
      </c>
      <c r="D6" s="16">
        <f>-PV(A6/2,$D$2*2,$D$1/2,100)</f>
        <v>112.79530425516376</v>
      </c>
      <c r="E6" s="16">
        <f>-PV(A6/2,$E$2*2,$E$1/2,100)</f>
        <v>134.67215796130964</v>
      </c>
    </row>
    <row r="7" ht="12.75">
      <c r="A7" s="15"/>
    </row>
    <row r="8" spans="1:7" ht="12.75">
      <c r="A8" s="17" t="s">
        <v>18</v>
      </c>
      <c r="B8" s="3"/>
      <c r="C8" s="3"/>
      <c r="D8" s="3"/>
      <c r="E8" s="3"/>
      <c r="G8" s="17" t="s">
        <v>55</v>
      </c>
    </row>
    <row r="9" spans="1:10" ht="12.75">
      <c r="A9" s="13" t="s">
        <v>5</v>
      </c>
      <c r="B9" s="13" t="s">
        <v>12</v>
      </c>
      <c r="C9" s="13" t="s">
        <v>13</v>
      </c>
      <c r="D9" s="13" t="s">
        <v>15</v>
      </c>
      <c r="E9" s="13" t="s">
        <v>16</v>
      </c>
      <c r="G9" s="13" t="s">
        <v>12</v>
      </c>
      <c r="H9" s="13" t="s">
        <v>13</v>
      </c>
      <c r="I9" s="13" t="s">
        <v>15</v>
      </c>
      <c r="J9" s="13" t="s">
        <v>16</v>
      </c>
    </row>
    <row r="10" spans="1:10" ht="12.75">
      <c r="A10" s="14">
        <v>0.04</v>
      </c>
      <c r="B10" s="16">
        <f aca="true" t="shared" si="0" ref="B10:B21">-PV(A10/2,$B$2*2,$B$1/2,100)</f>
        <v>108.98258500624222</v>
      </c>
      <c r="C10" s="16">
        <f aca="true" t="shared" si="1" ref="C10:C21">-PV(A10/2,$C$2*2,$C$1/2,100)</f>
        <v>127.35547924073818</v>
      </c>
      <c r="D10" s="16">
        <f aca="true" t="shared" si="2" ref="D10:D21">-PV(A10/2,$D$2*2,$D$1/2,100)</f>
        <v>122.4564625156056</v>
      </c>
      <c r="E10" s="16">
        <f aca="true" t="shared" si="3" ref="E10:E21">-PV(A10/2,$E$2*2,$E$1/2,100)</f>
        <v>168.38869810184545</v>
      </c>
      <c r="I10" s="14"/>
      <c r="J10" s="16"/>
    </row>
    <row r="11" spans="1:10" ht="12.75">
      <c r="A11" s="14">
        <v>0.05</v>
      </c>
      <c r="B11" s="16">
        <f t="shared" si="0"/>
        <v>104.37603196548547</v>
      </c>
      <c r="C11" s="16">
        <f t="shared" si="1"/>
        <v>112.55138752604387</v>
      </c>
      <c r="D11" s="16">
        <f t="shared" si="2"/>
        <v>117.50412786194184</v>
      </c>
      <c r="E11" s="16">
        <f t="shared" si="3"/>
        <v>150.20555010417553</v>
      </c>
      <c r="I11" s="15"/>
      <c r="J11" s="16"/>
    </row>
    <row r="12" spans="1:10" ht="12.75">
      <c r="A12" s="15">
        <v>0.055</v>
      </c>
      <c r="B12" s="16">
        <f t="shared" si="0"/>
        <v>102.16001904084719</v>
      </c>
      <c r="C12" s="16">
        <f t="shared" si="1"/>
        <v>106.01952526501199</v>
      </c>
      <c r="D12" s="16">
        <f t="shared" si="2"/>
        <v>115.1201332859303</v>
      </c>
      <c r="E12" s="16">
        <f t="shared" si="3"/>
        <v>142.1366768550839</v>
      </c>
      <c r="I12" s="15"/>
      <c r="J12" s="16"/>
    </row>
    <row r="13" spans="1:10" ht="12.75">
      <c r="A13" s="15">
        <v>0.059</v>
      </c>
      <c r="B13" s="16">
        <f t="shared" si="0"/>
        <v>100.42760053557828</v>
      </c>
      <c r="C13" s="16">
        <f t="shared" si="1"/>
        <v>101.16513721674795</v>
      </c>
      <c r="D13" s="16">
        <f t="shared" si="2"/>
        <v>113.25561660292658</v>
      </c>
      <c r="E13" s="16">
        <f t="shared" si="3"/>
        <v>136.11925371918616</v>
      </c>
      <c r="I13" s="15"/>
      <c r="J13" s="16"/>
    </row>
    <row r="14" spans="1:10" ht="12.75">
      <c r="A14" s="58">
        <v>0.0599</v>
      </c>
      <c r="B14" s="59">
        <f t="shared" si="0"/>
        <v>100.04266189950026</v>
      </c>
      <c r="C14" s="59">
        <f t="shared" si="1"/>
        <v>100.11566733062695</v>
      </c>
      <c r="D14" s="59">
        <f t="shared" si="2"/>
        <v>112.84123174957598</v>
      </c>
      <c r="E14" s="59">
        <f t="shared" si="3"/>
        <v>134.81586651871498</v>
      </c>
      <c r="G14" s="60">
        <f>B14-$B$15</f>
        <v>0.04266189950024568</v>
      </c>
      <c r="H14" s="60">
        <f>C14-$C$15</f>
        <v>0.11566733062694823</v>
      </c>
      <c r="I14" s="60">
        <f>D14-$D$15</f>
        <v>0.045927494412225656</v>
      </c>
      <c r="J14" s="60">
        <f>E14-$E$15</f>
        <v>0.14370855740534694</v>
      </c>
    </row>
    <row r="15" spans="1:10" ht="12.75">
      <c r="A15" s="58">
        <v>0.06</v>
      </c>
      <c r="B15" s="59">
        <f t="shared" si="0"/>
        <v>100.00000000000001</v>
      </c>
      <c r="C15" s="59">
        <f t="shared" si="1"/>
        <v>100</v>
      </c>
      <c r="D15" s="59">
        <f t="shared" si="2"/>
        <v>112.79530425516376</v>
      </c>
      <c r="E15" s="59">
        <f t="shared" si="3"/>
        <v>134.67215796130964</v>
      </c>
      <c r="G15" s="7"/>
      <c r="H15" s="7"/>
      <c r="I15" s="7"/>
      <c r="J15" s="7"/>
    </row>
    <row r="16" spans="1:10" ht="12.75">
      <c r="A16" s="58">
        <v>0.0601</v>
      </c>
      <c r="B16" s="59">
        <f t="shared" si="0"/>
        <v>99.95735986700157</v>
      </c>
      <c r="C16" s="59">
        <f t="shared" si="1"/>
        <v>99.88451949696113</v>
      </c>
      <c r="D16" s="59">
        <f t="shared" si="2"/>
        <v>112.74939976653053</v>
      </c>
      <c r="E16" s="59">
        <f t="shared" si="3"/>
        <v>134.52867040862446</v>
      </c>
      <c r="G16" s="7">
        <f>B16-$B$15</f>
        <v>-0.04264013299844294</v>
      </c>
      <c r="H16" s="7">
        <f>C16-$C$15</f>
        <v>-0.11548050303886725</v>
      </c>
      <c r="I16" s="7">
        <f>D16-$D$15</f>
        <v>-0.04590448863322649</v>
      </c>
      <c r="J16" s="7">
        <f>E16-$E$15</f>
        <v>-0.14348755268517266</v>
      </c>
    </row>
    <row r="17" spans="1:5" ht="12.75">
      <c r="A17" s="15">
        <v>0.061</v>
      </c>
      <c r="B17" s="16">
        <f t="shared" si="0"/>
        <v>99.57457612096792</v>
      </c>
      <c r="C17" s="16">
        <f t="shared" si="1"/>
        <v>98.85354609329916</v>
      </c>
      <c r="D17" s="16">
        <f t="shared" si="2"/>
        <v>112.33729249193057</v>
      </c>
      <c r="E17" s="16">
        <f t="shared" si="3"/>
        <v>133.24716329432422</v>
      </c>
    </row>
    <row r="18" spans="1:5" ht="12.75">
      <c r="A18" s="15">
        <v>0.065</v>
      </c>
      <c r="B18" s="16">
        <f t="shared" si="0"/>
        <v>97.89440122988788</v>
      </c>
      <c r="C18" s="16">
        <f t="shared" si="1"/>
        <v>94.4478916908734</v>
      </c>
      <c r="D18" s="16">
        <f t="shared" si="2"/>
        <v>110.52799385056063</v>
      </c>
      <c r="E18" s="16">
        <f t="shared" si="3"/>
        <v>127.76054154563299</v>
      </c>
    </row>
    <row r="19" spans="1:5" ht="12.75">
      <c r="A19" s="15">
        <v>0.07</v>
      </c>
      <c r="B19" s="16">
        <f t="shared" si="0"/>
        <v>95.84169733871101</v>
      </c>
      <c r="C19" s="16">
        <f t="shared" si="1"/>
        <v>89.32246383135124</v>
      </c>
      <c r="D19" s="16">
        <f t="shared" si="2"/>
        <v>108.31660532257794</v>
      </c>
      <c r="E19" s="16">
        <f t="shared" si="3"/>
        <v>121.3550723372975</v>
      </c>
    </row>
    <row r="20" spans="1:5" ht="12.75">
      <c r="A20" s="15">
        <v>0.08</v>
      </c>
      <c r="B20" s="16">
        <f t="shared" si="0"/>
        <v>91.88910422064495</v>
      </c>
      <c r="C20" s="16">
        <f t="shared" si="1"/>
        <v>80.20722611657352</v>
      </c>
      <c r="D20" s="16">
        <f t="shared" si="2"/>
        <v>104.05544788967751</v>
      </c>
      <c r="E20" s="16">
        <f t="shared" si="3"/>
        <v>109.89638694171323</v>
      </c>
    </row>
    <row r="21" spans="1:5" ht="12.75">
      <c r="A21" s="15">
        <v>0.09</v>
      </c>
      <c r="B21" s="16">
        <f t="shared" si="0"/>
        <v>88.13092273433477</v>
      </c>
      <c r="C21" s="16">
        <f t="shared" si="1"/>
        <v>72.39762336958034</v>
      </c>
      <c r="D21" s="16">
        <f t="shared" si="2"/>
        <v>100</v>
      </c>
      <c r="E21" s="16">
        <f t="shared" si="3"/>
        <v>100</v>
      </c>
    </row>
    <row r="24" spans="1:5" ht="12.75">
      <c r="A24" s="17" t="s">
        <v>19</v>
      </c>
      <c r="B24" s="3"/>
      <c r="C24" s="3"/>
      <c r="D24" s="3"/>
      <c r="E24" s="3"/>
    </row>
    <row r="25" spans="1:5" ht="12.75">
      <c r="A25" s="13" t="s">
        <v>5</v>
      </c>
      <c r="B25" s="13" t="s">
        <v>12</v>
      </c>
      <c r="C25" s="13" t="s">
        <v>13</v>
      </c>
      <c r="D25" s="13" t="s">
        <v>15</v>
      </c>
      <c r="E25" s="13" t="s">
        <v>16</v>
      </c>
    </row>
    <row r="26" spans="1:5" ht="12.75">
      <c r="A26" s="14">
        <v>0.04</v>
      </c>
      <c r="B26" s="18">
        <f>(B10-$B$6)/$B$6</f>
        <v>0.08982585006242202</v>
      </c>
      <c r="C26" s="18">
        <f>(C10-$C$6)/$C$6</f>
        <v>0.2735547924073818</v>
      </c>
      <c r="D26" s="18">
        <f>(D10-$D$6)/$D$6</f>
        <v>0.08565213174642906</v>
      </c>
      <c r="E26" s="18">
        <f>(E10-$E$6)/$E$6</f>
        <v>0.2503601386577791</v>
      </c>
    </row>
    <row r="27" spans="1:5" ht="12.75">
      <c r="A27" s="14">
        <v>0.05</v>
      </c>
      <c r="B27" s="18">
        <f aca="true" t="shared" si="4" ref="B27:B37">(B11-$B$6)/$B$6</f>
        <v>0.043760319654854524</v>
      </c>
      <c r="C27" s="18">
        <f aca="true" t="shared" si="5" ref="C27:C37">(C11-$C$6)/$C$6</f>
        <v>0.12551387526043867</v>
      </c>
      <c r="D27" s="18">
        <f aca="true" t="shared" si="6" ref="D27:D37">(D11-$D$6)/$D$6</f>
        <v>0.041746627999033156</v>
      </c>
      <c r="E27" s="18">
        <f aca="true" t="shared" si="7" ref="E27:E37">(E11-$E$6)/$E$6</f>
        <v>0.11534226805312295</v>
      </c>
    </row>
    <row r="28" spans="1:5" ht="12.75">
      <c r="A28" s="15">
        <v>0.055</v>
      </c>
      <c r="B28" s="18">
        <f t="shared" si="4"/>
        <v>0.021600190408471744</v>
      </c>
      <c r="C28" s="18">
        <f t="shared" si="5"/>
        <v>0.06019525265011993</v>
      </c>
      <c r="D28" s="18">
        <f t="shared" si="6"/>
        <v>0.02061104445897274</v>
      </c>
      <c r="E28" s="18">
        <f t="shared" si="7"/>
        <v>0.05542733558868759</v>
      </c>
    </row>
    <row r="29" spans="1:5" ht="12.75">
      <c r="A29" s="15">
        <v>0.059</v>
      </c>
      <c r="B29" s="18">
        <f t="shared" si="4"/>
        <v>0.004276005355782643</v>
      </c>
      <c r="C29" s="18">
        <f t="shared" si="5"/>
        <v>0.011651372167479508</v>
      </c>
      <c r="D29" s="18">
        <f t="shared" si="6"/>
        <v>0.0040809531106145314</v>
      </c>
      <c r="E29" s="18">
        <f t="shared" si="7"/>
        <v>0.01074532241691906</v>
      </c>
    </row>
    <row r="30" spans="1:5" ht="12.75">
      <c r="A30" s="15">
        <v>0.0599</v>
      </c>
      <c r="B30" s="18">
        <f t="shared" si="4"/>
        <v>0.00042661899500245676</v>
      </c>
      <c r="C30" s="18">
        <f t="shared" si="5"/>
        <v>0.0011566733062694822</v>
      </c>
      <c r="D30" s="18">
        <f t="shared" si="6"/>
        <v>0.0004071755886958663</v>
      </c>
      <c r="E30" s="18">
        <f t="shared" si="7"/>
        <v>0.0010670992399678737</v>
      </c>
    </row>
    <row r="31" spans="1:5" ht="12.75">
      <c r="A31" s="15">
        <v>0.06</v>
      </c>
      <c r="B31" s="18">
        <f t="shared" si="4"/>
        <v>0</v>
      </c>
      <c r="C31" s="18">
        <f t="shared" si="5"/>
        <v>0</v>
      </c>
      <c r="D31" s="18">
        <f t="shared" si="6"/>
        <v>0</v>
      </c>
      <c r="E31" s="18">
        <f t="shared" si="7"/>
        <v>0</v>
      </c>
    </row>
    <row r="32" spans="1:5" ht="12.75">
      <c r="A32" s="15">
        <v>0.0601</v>
      </c>
      <c r="B32" s="18">
        <f t="shared" si="4"/>
        <v>-0.0004264013299844293</v>
      </c>
      <c r="C32" s="18">
        <f t="shared" si="5"/>
        <v>-0.0011548050303886725</v>
      </c>
      <c r="D32" s="18">
        <f t="shared" si="6"/>
        <v>-0.000406971628263727</v>
      </c>
      <c r="E32" s="18">
        <f t="shared" si="7"/>
        <v>-0.001065458182725457</v>
      </c>
    </row>
    <row r="33" spans="1:5" ht="12.75">
      <c r="A33" s="15">
        <v>0.061</v>
      </c>
      <c r="B33" s="18">
        <f t="shared" si="4"/>
        <v>-0.004254238790320954</v>
      </c>
      <c r="C33" s="18">
        <f t="shared" si="5"/>
        <v>-0.011464539067008417</v>
      </c>
      <c r="D33" s="18">
        <f t="shared" si="6"/>
        <v>-0.004060557008624053</v>
      </c>
      <c r="E33" s="18">
        <f t="shared" si="7"/>
        <v>-0.010581212097268118</v>
      </c>
    </row>
    <row r="34" spans="1:5" ht="12.75">
      <c r="A34" s="15">
        <v>0.065</v>
      </c>
      <c r="B34" s="18">
        <f t="shared" si="4"/>
        <v>-0.021055987701121378</v>
      </c>
      <c r="C34" s="18">
        <f t="shared" si="5"/>
        <v>-0.05552108309126595</v>
      </c>
      <c r="D34" s="18">
        <f t="shared" si="6"/>
        <v>-0.0201011063321754</v>
      </c>
      <c r="E34" s="18">
        <f t="shared" si="7"/>
        <v>-0.05132179152919125</v>
      </c>
    </row>
    <row r="35" spans="1:5" ht="12.75">
      <c r="A35" s="15">
        <v>0.07</v>
      </c>
      <c r="B35" s="18">
        <f t="shared" si="4"/>
        <v>-0.04158302661288999</v>
      </c>
      <c r="C35" s="18">
        <f t="shared" si="5"/>
        <v>-0.10677536168648757</v>
      </c>
      <c r="D35" s="18">
        <f t="shared" si="6"/>
        <v>-0.039706430707914686</v>
      </c>
      <c r="E35" s="18">
        <f t="shared" si="7"/>
        <v>-0.09888521744663839</v>
      </c>
    </row>
    <row r="36" spans="1:5" ht="12.75">
      <c r="A36" s="15">
        <v>0.08</v>
      </c>
      <c r="B36" s="18">
        <f t="shared" si="4"/>
        <v>-0.08110895779355061</v>
      </c>
      <c r="C36" s="18">
        <f t="shared" si="5"/>
        <v>-0.19792773883426476</v>
      </c>
      <c r="D36" s="18">
        <f t="shared" si="6"/>
        <v>-0.07748422173422292</v>
      </c>
      <c r="E36" s="18">
        <f t="shared" si="7"/>
        <v>-0.18397099589593202</v>
      </c>
    </row>
    <row r="37" spans="1:5" ht="12.75">
      <c r="A37" s="15">
        <v>0.09</v>
      </c>
      <c r="B37" s="18">
        <f t="shared" si="4"/>
        <v>-0.11869077265665239</v>
      </c>
      <c r="C37" s="18">
        <f t="shared" si="5"/>
        <v>-0.27602376630419656</v>
      </c>
      <c r="D37" s="18">
        <f t="shared" si="6"/>
        <v>-0.11343827067675105</v>
      </c>
      <c r="E37" s="18">
        <f t="shared" si="7"/>
        <v>-0.2574560212458369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3" sqref="D3"/>
    </sheetView>
  </sheetViews>
  <sheetFormatPr defaultColWidth="8.8515625" defaultRowHeight="12.75"/>
  <cols>
    <col min="1" max="1" width="11.7109375" style="0" customWidth="1"/>
    <col min="2" max="2" width="10.421875" style="0" customWidth="1"/>
    <col min="3" max="3" width="11.8515625" style="0" customWidth="1"/>
    <col min="4" max="4" width="14.421875" style="0" customWidth="1"/>
    <col min="5" max="5" width="11.8515625" style="0" customWidth="1"/>
    <col min="6" max="6" width="4.140625" style="0" customWidth="1"/>
    <col min="7" max="7" width="12.140625" style="0" customWidth="1"/>
    <col min="8" max="8" width="4.28125" style="0" customWidth="1"/>
    <col min="9" max="9" width="14.7109375" style="0" customWidth="1"/>
    <col min="10" max="10" width="14.421875" style="0" bestFit="1" customWidth="1"/>
    <col min="11" max="11" width="11.140625" style="0" customWidth="1"/>
  </cols>
  <sheetData>
    <row r="1" spans="1:2" ht="12.75">
      <c r="A1" s="3" t="s">
        <v>0</v>
      </c>
      <c r="B1">
        <v>8</v>
      </c>
    </row>
    <row r="2" spans="1:3" ht="12.75">
      <c r="A2" s="3" t="s">
        <v>29</v>
      </c>
      <c r="B2">
        <v>100</v>
      </c>
      <c r="C2" t="s">
        <v>31</v>
      </c>
    </row>
    <row r="3" spans="1:3" ht="12.75">
      <c r="A3" s="3" t="s">
        <v>30</v>
      </c>
      <c r="B3">
        <v>150</v>
      </c>
      <c r="C3" t="s">
        <v>31</v>
      </c>
    </row>
    <row r="4" ht="12.75">
      <c r="A4" s="3"/>
    </row>
    <row r="5" ht="12.75">
      <c r="B5" s="13"/>
    </row>
    <row r="6" spans="1:11" ht="12.75">
      <c r="A6" s="13" t="s">
        <v>20</v>
      </c>
      <c r="B6" s="13" t="s">
        <v>22</v>
      </c>
      <c r="C6" s="13" t="s">
        <v>21</v>
      </c>
      <c r="D6" s="3" t="s">
        <v>23</v>
      </c>
      <c r="E6" s="13" t="s">
        <v>24</v>
      </c>
      <c r="F6" s="13"/>
      <c r="G6" s="13" t="s">
        <v>26</v>
      </c>
      <c r="H6" s="13"/>
      <c r="I6" s="13" t="s">
        <v>27</v>
      </c>
      <c r="J6" s="3" t="s">
        <v>23</v>
      </c>
      <c r="K6" s="13" t="s">
        <v>24</v>
      </c>
    </row>
    <row r="7" spans="1:11" ht="12.75">
      <c r="A7">
        <v>1</v>
      </c>
      <c r="B7">
        <f aca="true" t="shared" si="0" ref="B7:B25">$B$1/2</f>
        <v>4</v>
      </c>
      <c r="C7" s="19">
        <v>0.03</v>
      </c>
      <c r="D7" s="20">
        <f>1/(1+C7/2)^A7</f>
        <v>0.9852216748768474</v>
      </c>
      <c r="E7" s="20">
        <f>D7*B7</f>
        <v>3.9408866995073897</v>
      </c>
      <c r="F7" s="20"/>
      <c r="G7" s="6">
        <f ca="1">NORMINV(RAND(),$B$2,$B$3)</f>
        <v>553.0846209629515</v>
      </c>
      <c r="H7" s="20"/>
      <c r="I7" s="24">
        <f>C7+G7/10000</f>
        <v>0.08530846209629514</v>
      </c>
      <c r="J7" s="20">
        <f>1/(1+I7/2)^A7</f>
        <v>0.9590907227170905</v>
      </c>
      <c r="K7" s="20">
        <f>J7*B7</f>
        <v>3.836362890868362</v>
      </c>
    </row>
    <row r="8" spans="1:11" ht="12.75">
      <c r="A8">
        <f>A7+1</f>
        <v>2</v>
      </c>
      <c r="B8">
        <f t="shared" si="0"/>
        <v>4</v>
      </c>
      <c r="C8" s="19">
        <v>0.033</v>
      </c>
      <c r="D8" s="20">
        <f aca="true" t="shared" si="1" ref="D8:D26">1/(1+C8/2)^A8</f>
        <v>0.9677991449010656</v>
      </c>
      <c r="E8" s="20">
        <f aca="true" t="shared" si="2" ref="E8:E26">D8*B8</f>
        <v>3.8711965796042622</v>
      </c>
      <c r="F8" s="20"/>
      <c r="G8" s="6">
        <f ca="1">NORMINV(RAND(),$B$2,$B$3)</f>
        <v>238.01878595663118</v>
      </c>
      <c r="H8" s="20"/>
      <c r="I8" s="24">
        <f aca="true" t="shared" si="3" ref="I8:I26">C8+G8/10000</f>
        <v>0.056801878595663116</v>
      </c>
      <c r="J8" s="20">
        <f aca="true" t="shared" si="4" ref="J8:J26">1/(1+I8/2)^A8</f>
        <v>0.9455294729692294</v>
      </c>
      <c r="K8" s="20">
        <f>J8*B8</f>
        <v>3.7821178918769176</v>
      </c>
    </row>
    <row r="9" spans="1:11" ht="12.75">
      <c r="A9">
        <f aca="true" t="shared" si="5" ref="A9:A25">A8+1</f>
        <v>3</v>
      </c>
      <c r="B9">
        <f t="shared" si="0"/>
        <v>4</v>
      </c>
      <c r="C9" s="19">
        <v>0.035053</v>
      </c>
      <c r="D9" s="20">
        <f t="shared" si="1"/>
        <v>0.9492111130670419</v>
      </c>
      <c r="E9" s="20">
        <f t="shared" si="2"/>
        <v>3.7968444522681675</v>
      </c>
      <c r="F9" s="20"/>
      <c r="G9" s="6">
        <f ca="1">NORMINV(RAND(),$B$2,$B$3)</f>
        <v>166.7770757734982</v>
      </c>
      <c r="H9" s="20"/>
      <c r="I9" s="24">
        <f t="shared" si="3"/>
        <v>0.05173070757734982</v>
      </c>
      <c r="J9" s="20">
        <f t="shared" si="4"/>
        <v>0.9262514730482762</v>
      </c>
      <c r="K9" s="20">
        <f aca="true" t="shared" si="6" ref="K9:K26">J9*B9</f>
        <v>3.7050058921931046</v>
      </c>
    </row>
    <row r="10" spans="1:11" ht="12.75">
      <c r="A10">
        <f t="shared" si="5"/>
        <v>4</v>
      </c>
      <c r="B10">
        <f t="shared" si="0"/>
        <v>4</v>
      </c>
      <c r="C10" s="19">
        <v>0.039164</v>
      </c>
      <c r="D10" s="20">
        <f t="shared" si="1"/>
        <v>0.9253613607122011</v>
      </c>
      <c r="E10" s="20">
        <f t="shared" si="2"/>
        <v>3.7014454428488044</v>
      </c>
      <c r="F10" s="20"/>
      <c r="G10" s="6">
        <f ca="1">NORMINV(RAND(),$B$2,$B$3)</f>
        <v>472.3262188364706</v>
      </c>
      <c r="H10" s="20"/>
      <c r="I10" s="24">
        <f t="shared" si="3"/>
        <v>0.08639662188364705</v>
      </c>
      <c r="J10" s="20">
        <f t="shared" si="4"/>
        <v>0.8443694254225439</v>
      </c>
      <c r="K10" s="20">
        <f t="shared" si="6"/>
        <v>3.3774777016901756</v>
      </c>
    </row>
    <row r="11" spans="1:11" ht="12.75">
      <c r="A11">
        <f t="shared" si="5"/>
        <v>5</v>
      </c>
      <c r="B11">
        <f t="shared" si="0"/>
        <v>4</v>
      </c>
      <c r="C11" s="19">
        <v>0.044376</v>
      </c>
      <c r="D11" s="20">
        <f t="shared" si="1"/>
        <v>0.8960786064095567</v>
      </c>
      <c r="E11" s="20">
        <f t="shared" si="2"/>
        <v>3.584314425638227</v>
      </c>
      <c r="F11" s="20"/>
      <c r="G11" s="6">
        <f aca="true" ca="1" t="shared" si="7" ref="G11:G26">NORMINV(RAND(),$B$2,$B$3)</f>
        <v>-102.65819430965993</v>
      </c>
      <c r="H11" s="20"/>
      <c r="I11" s="24">
        <f t="shared" si="3"/>
        <v>0.034110180569034004</v>
      </c>
      <c r="J11" s="20">
        <f t="shared" si="4"/>
        <v>0.9189198038458946</v>
      </c>
      <c r="K11" s="20">
        <f t="shared" si="6"/>
        <v>3.6756792153835782</v>
      </c>
    </row>
    <row r="12" spans="1:14" ht="12.75">
      <c r="A12">
        <f t="shared" si="5"/>
        <v>6</v>
      </c>
      <c r="B12">
        <f t="shared" si="0"/>
        <v>4</v>
      </c>
      <c r="C12" s="19">
        <v>0.04752</v>
      </c>
      <c r="D12" s="20">
        <f t="shared" si="1"/>
        <v>0.8685824666157971</v>
      </c>
      <c r="E12" s="20">
        <f t="shared" si="2"/>
        <v>3.4743298664631883</v>
      </c>
      <c r="F12" s="20"/>
      <c r="G12" s="6">
        <f ca="1">NORMINV(RAND(),$B$2,$B$3)</f>
        <v>220.39776167940272</v>
      </c>
      <c r="H12" s="20"/>
      <c r="I12" s="24">
        <f t="shared" si="3"/>
        <v>0.06955977616794028</v>
      </c>
      <c r="J12" s="20">
        <f t="shared" si="4"/>
        <v>0.8145394532555915</v>
      </c>
      <c r="K12" s="20">
        <f t="shared" si="6"/>
        <v>3.258157813022366</v>
      </c>
      <c r="M12" s="14"/>
      <c r="N12" s="16"/>
    </row>
    <row r="13" spans="1:14" ht="12.75">
      <c r="A13">
        <f t="shared" si="5"/>
        <v>7</v>
      </c>
      <c r="B13">
        <f t="shared" si="0"/>
        <v>4</v>
      </c>
      <c r="C13" s="19">
        <v>0.049622</v>
      </c>
      <c r="D13" s="20">
        <f t="shared" si="1"/>
        <v>0.842351884118731</v>
      </c>
      <c r="E13" s="20">
        <f t="shared" si="2"/>
        <v>3.369407536474924</v>
      </c>
      <c r="F13" s="20"/>
      <c r="G13" s="6">
        <f ca="1" t="shared" si="7"/>
        <v>-78.93422516084453</v>
      </c>
      <c r="H13" s="20"/>
      <c r="I13" s="24">
        <f t="shared" si="3"/>
        <v>0.04172857748391555</v>
      </c>
      <c r="J13" s="20">
        <f t="shared" si="4"/>
        <v>0.865414000841193</v>
      </c>
      <c r="K13" s="20">
        <f t="shared" si="6"/>
        <v>3.461656003364772</v>
      </c>
      <c r="M13" s="14"/>
      <c r="N13" s="16"/>
    </row>
    <row r="14" spans="1:14" ht="12.75">
      <c r="A14">
        <f t="shared" si="5"/>
        <v>8</v>
      </c>
      <c r="B14">
        <f t="shared" si="0"/>
        <v>4</v>
      </c>
      <c r="C14" s="19">
        <v>0.05065</v>
      </c>
      <c r="D14" s="20">
        <f t="shared" si="1"/>
        <v>0.81866764444259</v>
      </c>
      <c r="E14" s="20">
        <f t="shared" si="2"/>
        <v>3.27467057777036</v>
      </c>
      <c r="F14" s="20"/>
      <c r="G14" s="6">
        <f ca="1" t="shared" si="7"/>
        <v>309.99593476893375</v>
      </c>
      <c r="H14" s="20"/>
      <c r="I14" s="24">
        <f t="shared" si="3"/>
        <v>0.08164959347689338</v>
      </c>
      <c r="J14" s="20">
        <f t="shared" si="4"/>
        <v>0.7260707762311721</v>
      </c>
      <c r="K14" s="20">
        <f t="shared" si="6"/>
        <v>2.9042831049246884</v>
      </c>
      <c r="M14" s="15"/>
      <c r="N14" s="16"/>
    </row>
    <row r="15" spans="1:14" ht="12.75">
      <c r="A15">
        <f t="shared" si="5"/>
        <v>9</v>
      </c>
      <c r="B15">
        <f t="shared" si="0"/>
        <v>4</v>
      </c>
      <c r="C15" s="19">
        <v>0.051701</v>
      </c>
      <c r="D15" s="20">
        <f t="shared" si="1"/>
        <v>0.7947734117051605</v>
      </c>
      <c r="E15" s="20">
        <f t="shared" si="2"/>
        <v>3.179093646820642</v>
      </c>
      <c r="F15" s="20"/>
      <c r="G15" s="6">
        <f ca="1" t="shared" si="7"/>
        <v>-133.4520037080251</v>
      </c>
      <c r="H15" s="20"/>
      <c r="I15" s="24">
        <f t="shared" si="3"/>
        <v>0.03835579962919749</v>
      </c>
      <c r="J15" s="20">
        <f t="shared" si="4"/>
        <v>0.84284947494528</v>
      </c>
      <c r="K15" s="20">
        <f t="shared" si="6"/>
        <v>3.37139789978112</v>
      </c>
      <c r="M15" s="15"/>
      <c r="N15" s="16"/>
    </row>
    <row r="16" spans="1:14" ht="12.75">
      <c r="A16">
        <f t="shared" si="5"/>
        <v>10</v>
      </c>
      <c r="B16">
        <f t="shared" si="0"/>
        <v>4</v>
      </c>
      <c r="C16" s="19">
        <v>0.052772</v>
      </c>
      <c r="D16" s="20">
        <f t="shared" si="1"/>
        <v>0.7707132122235248</v>
      </c>
      <c r="E16" s="20">
        <f t="shared" si="2"/>
        <v>3.0828528488940994</v>
      </c>
      <c r="F16" s="20"/>
      <c r="G16" s="6">
        <f ca="1" t="shared" si="7"/>
        <v>151.09413302608775</v>
      </c>
      <c r="H16" s="20"/>
      <c r="I16" s="24">
        <f t="shared" si="3"/>
        <v>0.06788141330260877</v>
      </c>
      <c r="J16" s="20">
        <f t="shared" si="4"/>
        <v>0.7162154082337759</v>
      </c>
      <c r="K16" s="20">
        <f t="shared" si="6"/>
        <v>2.8648616329351038</v>
      </c>
      <c r="M16" s="15"/>
      <c r="N16" s="16"/>
    </row>
    <row r="17" spans="1:14" ht="12.75">
      <c r="A17">
        <f t="shared" si="5"/>
        <v>11</v>
      </c>
      <c r="B17">
        <f t="shared" si="0"/>
        <v>4</v>
      </c>
      <c r="C17" s="19">
        <v>0.053864</v>
      </c>
      <c r="D17" s="20">
        <f t="shared" si="1"/>
        <v>0.7465199920317787</v>
      </c>
      <c r="E17" s="20">
        <f t="shared" si="2"/>
        <v>2.9860799681271146</v>
      </c>
      <c r="F17" s="20"/>
      <c r="G17" s="6">
        <f ca="1" t="shared" si="7"/>
        <v>319.87735375268875</v>
      </c>
      <c r="H17" s="20"/>
      <c r="I17" s="24">
        <f t="shared" si="3"/>
        <v>0.08585173537526888</v>
      </c>
      <c r="J17" s="20">
        <f t="shared" si="4"/>
        <v>0.6298137917408827</v>
      </c>
      <c r="K17" s="20">
        <f t="shared" si="6"/>
        <v>2.519255166963531</v>
      </c>
      <c r="M17" s="15"/>
      <c r="N17" s="16"/>
    </row>
    <row r="18" spans="1:11" ht="12.75">
      <c r="A18">
        <f t="shared" si="5"/>
        <v>12</v>
      </c>
      <c r="B18">
        <f t="shared" si="0"/>
        <v>4</v>
      </c>
      <c r="C18" s="19">
        <v>0.054976</v>
      </c>
      <c r="D18" s="20">
        <f t="shared" si="1"/>
        <v>0.7222356113203231</v>
      </c>
      <c r="E18" s="20">
        <f t="shared" si="2"/>
        <v>2.8889424452812924</v>
      </c>
      <c r="F18" s="20"/>
      <c r="G18" s="6">
        <f ca="1" t="shared" si="7"/>
        <v>113.01069671130477</v>
      </c>
      <c r="H18" s="20"/>
      <c r="I18" s="24">
        <f t="shared" si="3"/>
        <v>0.06627706967113048</v>
      </c>
      <c r="J18" s="20">
        <f t="shared" si="4"/>
        <v>0.6762344222887624</v>
      </c>
      <c r="K18" s="20">
        <f t="shared" si="6"/>
        <v>2.7049376891550496</v>
      </c>
    </row>
    <row r="19" spans="1:11" ht="12.75">
      <c r="A19">
        <f t="shared" si="5"/>
        <v>13</v>
      </c>
      <c r="B19">
        <f t="shared" si="0"/>
        <v>4</v>
      </c>
      <c r="C19" s="19">
        <v>0.056108</v>
      </c>
      <c r="D19" s="20">
        <f t="shared" si="1"/>
        <v>0.6978995952794386</v>
      </c>
      <c r="E19" s="20">
        <f t="shared" si="2"/>
        <v>2.7915983811177543</v>
      </c>
      <c r="F19" s="20"/>
      <c r="G19" s="6">
        <f ca="1" t="shared" si="7"/>
        <v>-71.27062271933869</v>
      </c>
      <c r="H19" s="20"/>
      <c r="I19" s="24">
        <f t="shared" si="3"/>
        <v>0.04898093772806613</v>
      </c>
      <c r="J19" s="20">
        <f t="shared" si="4"/>
        <v>0.730124646489354</v>
      </c>
      <c r="K19" s="20">
        <f t="shared" si="6"/>
        <v>2.920498585957416</v>
      </c>
    </row>
    <row r="20" spans="1:11" ht="12.75">
      <c r="A20">
        <f t="shared" si="5"/>
        <v>14</v>
      </c>
      <c r="B20">
        <f t="shared" si="0"/>
        <v>4</v>
      </c>
      <c r="C20" s="19">
        <v>0.056643</v>
      </c>
      <c r="D20" s="20">
        <f t="shared" si="1"/>
        <v>0.6763868802279258</v>
      </c>
      <c r="E20" s="20">
        <f t="shared" si="2"/>
        <v>2.7055475209117033</v>
      </c>
      <c r="F20" s="20"/>
      <c r="G20" s="6">
        <f ca="1" t="shared" si="7"/>
        <v>-27.538407318170186</v>
      </c>
      <c r="H20" s="20"/>
      <c r="I20" s="24">
        <f t="shared" si="3"/>
        <v>0.05388915926818298</v>
      </c>
      <c r="J20" s="20">
        <f t="shared" si="4"/>
        <v>0.6891946576441171</v>
      </c>
      <c r="K20" s="20">
        <f t="shared" si="6"/>
        <v>2.7567786305764685</v>
      </c>
    </row>
    <row r="21" spans="1:11" ht="12.75">
      <c r="A21">
        <f t="shared" si="5"/>
        <v>15</v>
      </c>
      <c r="B21">
        <f t="shared" si="0"/>
        <v>4</v>
      </c>
      <c r="C21" s="19">
        <v>0.057193</v>
      </c>
      <c r="D21" s="20">
        <f t="shared" si="1"/>
        <v>0.6551252927199683</v>
      </c>
      <c r="E21" s="20">
        <f t="shared" si="2"/>
        <v>2.6205011708798733</v>
      </c>
      <c r="F21" s="20"/>
      <c r="G21" s="6">
        <f ca="1" t="shared" si="7"/>
        <v>203.8815707403876</v>
      </c>
      <c r="H21" s="20"/>
      <c r="I21" s="24">
        <f t="shared" si="3"/>
        <v>0.07758115707403876</v>
      </c>
      <c r="J21" s="20">
        <f t="shared" si="4"/>
        <v>0.5650410090832785</v>
      </c>
      <c r="K21" s="20">
        <f t="shared" si="6"/>
        <v>2.260164036333114</v>
      </c>
    </row>
    <row r="22" spans="1:11" ht="12.75">
      <c r="A22">
        <f t="shared" si="5"/>
        <v>16</v>
      </c>
      <c r="B22">
        <f t="shared" si="0"/>
        <v>4</v>
      </c>
      <c r="C22" s="19">
        <v>0.057755</v>
      </c>
      <c r="D22" s="20">
        <f t="shared" si="1"/>
        <v>0.6341343526245825</v>
      </c>
      <c r="E22" s="20">
        <f t="shared" si="2"/>
        <v>2.53653741049833</v>
      </c>
      <c r="F22" s="20"/>
      <c r="G22" s="6">
        <f ca="1" t="shared" si="7"/>
        <v>366.05815902135555</v>
      </c>
      <c r="H22" s="20"/>
      <c r="I22" s="24">
        <f t="shared" si="3"/>
        <v>0.09436081590213555</v>
      </c>
      <c r="J22" s="20">
        <f t="shared" si="4"/>
        <v>0.4782509791713569</v>
      </c>
      <c r="K22" s="20">
        <f t="shared" si="6"/>
        <v>1.9130039166854276</v>
      </c>
    </row>
    <row r="23" spans="1:11" ht="12.75">
      <c r="A23">
        <f t="shared" si="5"/>
        <v>17</v>
      </c>
      <c r="B23">
        <f t="shared" si="0"/>
        <v>4</v>
      </c>
      <c r="C23" s="19">
        <v>0.058331</v>
      </c>
      <c r="D23" s="20">
        <f t="shared" si="1"/>
        <v>0.6134105951694931</v>
      </c>
      <c r="E23" s="20">
        <f t="shared" si="2"/>
        <v>2.4536423806779726</v>
      </c>
      <c r="F23" s="20"/>
      <c r="G23" s="6">
        <f ca="1" t="shared" si="7"/>
        <v>91.3774269991965</v>
      </c>
      <c r="H23" s="20"/>
      <c r="I23" s="24">
        <f t="shared" si="3"/>
        <v>0.06746874269991965</v>
      </c>
      <c r="J23" s="20">
        <f t="shared" si="4"/>
        <v>0.5689154611978945</v>
      </c>
      <c r="K23" s="20">
        <f t="shared" si="6"/>
        <v>2.275661844791578</v>
      </c>
    </row>
    <row r="24" spans="1:11" ht="12.75">
      <c r="A24">
        <f>A23+1</f>
        <v>18</v>
      </c>
      <c r="B24">
        <f t="shared" si="0"/>
        <v>4</v>
      </c>
      <c r="C24" s="19">
        <v>0.059584</v>
      </c>
      <c r="D24" s="20">
        <f t="shared" si="1"/>
        <v>0.5895338601940657</v>
      </c>
      <c r="E24" s="20">
        <f t="shared" si="2"/>
        <v>2.358135440776263</v>
      </c>
      <c r="F24" s="20"/>
      <c r="G24" s="6">
        <f ca="1" t="shared" si="7"/>
        <v>142.8035777741148</v>
      </c>
      <c r="H24" s="20"/>
      <c r="I24" s="24">
        <f t="shared" si="3"/>
        <v>0.07386435777741147</v>
      </c>
      <c r="J24" s="20">
        <f t="shared" si="4"/>
        <v>0.5205874126831511</v>
      </c>
      <c r="K24" s="20">
        <f t="shared" si="6"/>
        <v>2.0823496507326045</v>
      </c>
    </row>
    <row r="25" spans="1:11" ht="12.75">
      <c r="A25">
        <f t="shared" si="5"/>
        <v>19</v>
      </c>
      <c r="B25">
        <f t="shared" si="0"/>
        <v>4</v>
      </c>
      <c r="C25" s="19">
        <v>0.060863</v>
      </c>
      <c r="D25" s="20">
        <f t="shared" si="1"/>
        <v>0.5657656771294972</v>
      </c>
      <c r="E25" s="20">
        <f t="shared" si="2"/>
        <v>2.263062708517989</v>
      </c>
      <c r="F25" s="20"/>
      <c r="G25" s="6">
        <f ca="1" t="shared" si="7"/>
        <v>202.99464329030388</v>
      </c>
      <c r="H25" s="20"/>
      <c r="I25" s="24">
        <f t="shared" si="3"/>
        <v>0.08116246432903039</v>
      </c>
      <c r="J25" s="20">
        <f t="shared" si="4"/>
        <v>0.46963041330026334</v>
      </c>
      <c r="K25" s="20">
        <f t="shared" si="6"/>
        <v>1.8785216532010534</v>
      </c>
    </row>
    <row r="26" spans="1:11" ht="12.75">
      <c r="A26">
        <f>A25+1</f>
        <v>20</v>
      </c>
      <c r="B26">
        <f>100+B25</f>
        <v>104</v>
      </c>
      <c r="C26" s="19">
        <v>0.062169</v>
      </c>
      <c r="D26" s="20">
        <f t="shared" si="1"/>
        <v>0.5421442230321785</v>
      </c>
      <c r="E26" s="20">
        <f t="shared" si="2"/>
        <v>56.38299919534656</v>
      </c>
      <c r="F26" s="20"/>
      <c r="G26" s="6">
        <f ca="1" t="shared" si="7"/>
        <v>177.66091183515977</v>
      </c>
      <c r="H26" s="20"/>
      <c r="I26" s="24">
        <f t="shared" si="3"/>
        <v>0.07993509118351598</v>
      </c>
      <c r="J26" s="20">
        <f t="shared" si="4"/>
        <v>0.4566718812526909</v>
      </c>
      <c r="K26" s="20">
        <f t="shared" si="6"/>
        <v>47.493875650279854</v>
      </c>
    </row>
    <row r="27" spans="1:9" ht="12.75">
      <c r="A27" s="13"/>
      <c r="B27" s="13"/>
      <c r="C27" s="13"/>
      <c r="D27" s="13"/>
      <c r="E27" s="13"/>
      <c r="F27" s="13"/>
      <c r="G27" s="3"/>
      <c r="H27" s="3"/>
      <c r="I27" s="13"/>
    </row>
    <row r="28" spans="2:11" ht="12.75">
      <c r="B28" s="13"/>
      <c r="C28" s="13"/>
      <c r="D28" s="13" t="s">
        <v>3</v>
      </c>
      <c r="E28" s="23">
        <f>SUM(E7:E26)</f>
        <v>115.26208869842492</v>
      </c>
      <c r="F28" s="23"/>
      <c r="G28" s="21"/>
      <c r="H28" s="21"/>
      <c r="I28" s="20"/>
      <c r="K28" s="23">
        <f>SUM(K7:K26)</f>
        <v>103.04204687071629</v>
      </c>
    </row>
    <row r="29" spans="1:9" ht="12.75">
      <c r="A29" s="14"/>
      <c r="B29" s="18"/>
      <c r="C29" s="18"/>
      <c r="D29" s="18"/>
      <c r="E29" s="18"/>
      <c r="F29" s="18"/>
      <c r="G29" s="18"/>
      <c r="H29" s="18"/>
      <c r="I29" s="18"/>
    </row>
    <row r="30" spans="1:11" ht="12.75">
      <c r="A30" s="14"/>
      <c r="B30" s="18"/>
      <c r="C30" s="18"/>
      <c r="D30" s="18"/>
      <c r="E30" s="18"/>
      <c r="F30" s="18"/>
      <c r="G30" s="18"/>
      <c r="H30" s="18"/>
      <c r="I30" s="18"/>
      <c r="J30" s="25" t="s">
        <v>28</v>
      </c>
      <c r="K30" s="9">
        <f>(K28-E28)/E28</f>
        <v>-0.10601961118092784</v>
      </c>
    </row>
    <row r="31" spans="1:9" ht="12.75">
      <c r="A31" s="15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5"/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15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15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5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5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15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15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5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15"/>
      <c r="B40" s="18"/>
      <c r="C40" s="18"/>
      <c r="D40" s="18"/>
      <c r="E40" s="18"/>
      <c r="F40" s="18"/>
      <c r="G40" s="18"/>
      <c r="H40" s="18"/>
      <c r="I40" s="1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3" sqref="E3"/>
    </sheetView>
  </sheetViews>
  <sheetFormatPr defaultColWidth="8.8515625" defaultRowHeight="12.75"/>
  <cols>
    <col min="1" max="1" width="11.7109375" style="0" customWidth="1"/>
    <col min="2" max="2" width="10.421875" style="0" customWidth="1"/>
    <col min="3" max="3" width="11.8515625" style="0" customWidth="1"/>
    <col min="4" max="4" width="14.421875" style="0" customWidth="1"/>
    <col min="5" max="5" width="11.8515625" style="0" customWidth="1"/>
    <col min="6" max="6" width="4.140625" style="0" customWidth="1"/>
    <col min="7" max="7" width="12.140625" style="0" customWidth="1"/>
    <col min="8" max="8" width="4.28125" style="0" customWidth="1"/>
    <col min="9" max="9" width="14.7109375" style="0" customWidth="1"/>
    <col min="10" max="10" width="14.421875" style="0" bestFit="1" customWidth="1"/>
    <col min="11" max="11" width="11.140625" style="0" customWidth="1"/>
  </cols>
  <sheetData>
    <row r="1" spans="1:2" ht="12.75">
      <c r="A1" s="3" t="s">
        <v>0</v>
      </c>
      <c r="B1">
        <v>8</v>
      </c>
    </row>
    <row r="2" spans="1:3" ht="12.75">
      <c r="A2" s="3" t="s">
        <v>32</v>
      </c>
      <c r="B2">
        <v>1</v>
      </c>
      <c r="C2" t="s">
        <v>31</v>
      </c>
    </row>
    <row r="3" ht="12.75">
      <c r="A3" s="3"/>
    </row>
    <row r="4" ht="12.75">
      <c r="A4" s="3"/>
    </row>
    <row r="5" ht="12.75">
      <c r="B5" s="13"/>
    </row>
    <row r="6" spans="1:11" ht="12.75">
      <c r="A6" s="13" t="s">
        <v>20</v>
      </c>
      <c r="B6" s="13" t="s">
        <v>22</v>
      </c>
      <c r="C6" s="13" t="s">
        <v>21</v>
      </c>
      <c r="D6" s="3" t="s">
        <v>23</v>
      </c>
      <c r="E6" s="13" t="s">
        <v>24</v>
      </c>
      <c r="F6" s="13"/>
      <c r="G6" s="13" t="s">
        <v>26</v>
      </c>
      <c r="H6" s="13"/>
      <c r="I6" s="13" t="s">
        <v>57</v>
      </c>
      <c r="J6" s="3" t="s">
        <v>23</v>
      </c>
      <c r="K6" s="13" t="s">
        <v>24</v>
      </c>
    </row>
    <row r="7" spans="1:11" ht="12.75">
      <c r="A7" s="13"/>
      <c r="B7" s="23">
        <f>-E29</f>
        <v>-115.26208869842492</v>
      </c>
      <c r="C7" s="13"/>
      <c r="D7" s="3"/>
      <c r="E7" s="13"/>
      <c r="F7" s="13"/>
      <c r="G7" s="13"/>
      <c r="H7" s="13"/>
      <c r="I7" s="13"/>
      <c r="J7" s="3"/>
      <c r="K7" s="13"/>
    </row>
    <row r="8" spans="1:11" ht="12.75">
      <c r="A8">
        <v>1</v>
      </c>
      <c r="B8">
        <f aca="true" t="shared" si="0" ref="B8:B26">$B$1/2</f>
        <v>4</v>
      </c>
      <c r="C8" s="19">
        <v>0.03</v>
      </c>
      <c r="D8" s="20">
        <f aca="true" t="shared" si="1" ref="D8:D27">1/(1+C8/2)^A8</f>
        <v>0.9852216748768474</v>
      </c>
      <c r="E8" s="20">
        <f aca="true" t="shared" si="2" ref="E8:E26">D8*B8</f>
        <v>3.9408866995073897</v>
      </c>
      <c r="F8" s="20"/>
      <c r="G8" s="6">
        <f>$B$2</f>
        <v>1</v>
      </c>
      <c r="H8" s="20"/>
      <c r="I8" s="28">
        <f>$C$29+G8/10000</f>
        <v>0.05962772500367292</v>
      </c>
      <c r="J8" s="20">
        <f>1/(1+I8/2)^A8</f>
        <v>0.9710492705648703</v>
      </c>
      <c r="K8" s="20">
        <f>J8*B8</f>
        <v>3.8841970822594813</v>
      </c>
    </row>
    <row r="9" spans="1:11" ht="12.75">
      <c r="A9">
        <f aca="true" t="shared" si="3" ref="A9:A27">A8+1</f>
        <v>2</v>
      </c>
      <c r="B9">
        <f t="shared" si="0"/>
        <v>4</v>
      </c>
      <c r="C9" s="19">
        <v>0.033</v>
      </c>
      <c r="D9" s="20">
        <f t="shared" si="1"/>
        <v>0.9677991449010656</v>
      </c>
      <c r="E9" s="20">
        <f t="shared" si="2"/>
        <v>3.8711965796042622</v>
      </c>
      <c r="F9" s="20"/>
      <c r="G9" s="6">
        <f aca="true" t="shared" si="4" ref="G9:G27">$B$2</f>
        <v>1</v>
      </c>
      <c r="H9" s="20"/>
      <c r="I9" s="28">
        <f>$C$29+G9/10000</f>
        <v>0.05962772500367292</v>
      </c>
      <c r="J9" s="20">
        <f>1/(1+I9/2)^A9</f>
        <v>0.9429366858645668</v>
      </c>
      <c r="K9" s="20">
        <f aca="true" t="shared" si="5" ref="K9:K26">J9*B9</f>
        <v>3.771746743458267</v>
      </c>
    </row>
    <row r="10" spans="1:11" ht="12.75">
      <c r="A10">
        <f t="shared" si="3"/>
        <v>3</v>
      </c>
      <c r="B10">
        <f t="shared" si="0"/>
        <v>4</v>
      </c>
      <c r="C10" s="19">
        <v>0.035053</v>
      </c>
      <c r="D10" s="20">
        <f t="shared" si="1"/>
        <v>0.9492111130670419</v>
      </c>
      <c r="E10" s="20">
        <f t="shared" si="2"/>
        <v>3.7968444522681675</v>
      </c>
      <c r="F10" s="20"/>
      <c r="G10" s="6">
        <f t="shared" si="4"/>
        <v>1</v>
      </c>
      <c r="H10" s="20"/>
      <c r="I10" s="28">
        <f aca="true" t="shared" si="6" ref="I10:I27">$C$29+G10/10000</f>
        <v>0.05962772500367292</v>
      </c>
      <c r="J10" s="20">
        <f aca="true" t="shared" si="7" ref="J10:J26">1/(1+I10/2)^A10</f>
        <v>0.9156379809976438</v>
      </c>
      <c r="K10" s="20">
        <f t="shared" si="5"/>
        <v>3.6625519239905753</v>
      </c>
    </row>
    <row r="11" spans="1:11" ht="12.75">
      <c r="A11">
        <f t="shared" si="3"/>
        <v>4</v>
      </c>
      <c r="B11">
        <f t="shared" si="0"/>
        <v>4</v>
      </c>
      <c r="C11" s="19">
        <v>0.039164</v>
      </c>
      <c r="D11" s="20">
        <f t="shared" si="1"/>
        <v>0.9253613607122011</v>
      </c>
      <c r="E11" s="20">
        <f t="shared" si="2"/>
        <v>3.7014454428488044</v>
      </c>
      <c r="F11" s="20"/>
      <c r="G11" s="6">
        <f t="shared" si="4"/>
        <v>1</v>
      </c>
      <c r="H11" s="20"/>
      <c r="I11" s="28">
        <f t="shared" si="6"/>
        <v>0.05962772500367292</v>
      </c>
      <c r="J11" s="20">
        <f t="shared" si="7"/>
        <v>0.8891295935492527</v>
      </c>
      <c r="K11" s="20">
        <f t="shared" si="5"/>
        <v>3.556518374197011</v>
      </c>
    </row>
    <row r="12" spans="1:11" ht="12.75">
      <c r="A12">
        <f t="shared" si="3"/>
        <v>5</v>
      </c>
      <c r="B12">
        <f t="shared" si="0"/>
        <v>4</v>
      </c>
      <c r="C12" s="19">
        <v>0.044376</v>
      </c>
      <c r="D12" s="20">
        <f t="shared" si="1"/>
        <v>0.8960786064095567</v>
      </c>
      <c r="E12" s="20">
        <f t="shared" si="2"/>
        <v>3.584314425638227</v>
      </c>
      <c r="F12" s="20"/>
      <c r="G12" s="6">
        <f t="shared" si="4"/>
        <v>1</v>
      </c>
      <c r="H12" s="20"/>
      <c r="I12" s="28">
        <f t="shared" si="6"/>
        <v>0.05962772500367292</v>
      </c>
      <c r="J12" s="20">
        <f t="shared" si="7"/>
        <v>0.8633886432536415</v>
      </c>
      <c r="K12" s="20">
        <f t="shared" si="5"/>
        <v>3.453554573014566</v>
      </c>
    </row>
    <row r="13" spans="1:14" ht="12.75">
      <c r="A13">
        <f t="shared" si="3"/>
        <v>6</v>
      </c>
      <c r="B13">
        <f t="shared" si="0"/>
        <v>4</v>
      </c>
      <c r="C13" s="19">
        <v>0.04752</v>
      </c>
      <c r="D13" s="20">
        <f t="shared" si="1"/>
        <v>0.8685824666157971</v>
      </c>
      <c r="E13" s="20">
        <f t="shared" si="2"/>
        <v>3.4743298664631883</v>
      </c>
      <c r="F13" s="20"/>
      <c r="G13" s="6">
        <f t="shared" si="4"/>
        <v>1</v>
      </c>
      <c r="H13" s="20"/>
      <c r="I13" s="28">
        <f t="shared" si="6"/>
        <v>0.05962772500367292</v>
      </c>
      <c r="J13" s="20">
        <f t="shared" si="7"/>
        <v>0.8383929122454417</v>
      </c>
      <c r="K13" s="20">
        <f t="shared" si="5"/>
        <v>3.3535716489817666</v>
      </c>
      <c r="M13" s="14"/>
      <c r="N13" s="16"/>
    </row>
    <row r="14" spans="1:14" ht="12.75">
      <c r="A14">
        <f t="shared" si="3"/>
        <v>7</v>
      </c>
      <c r="B14">
        <f t="shared" si="0"/>
        <v>4</v>
      </c>
      <c r="C14" s="19">
        <v>0.049622</v>
      </c>
      <c r="D14" s="20">
        <f t="shared" si="1"/>
        <v>0.842351884118731</v>
      </c>
      <c r="E14" s="20">
        <f t="shared" si="2"/>
        <v>3.369407536474924</v>
      </c>
      <c r="F14" s="20"/>
      <c r="G14" s="6">
        <f t="shared" si="4"/>
        <v>1</v>
      </c>
      <c r="H14" s="20"/>
      <c r="I14" s="28">
        <f t="shared" si="6"/>
        <v>0.05962772500367292</v>
      </c>
      <c r="J14" s="20">
        <f t="shared" si="7"/>
        <v>0.8141208258826934</v>
      </c>
      <c r="K14" s="20">
        <f t="shared" si="5"/>
        <v>3.2564833035307736</v>
      </c>
      <c r="M14" s="14"/>
      <c r="N14" s="16"/>
    </row>
    <row r="15" spans="1:14" ht="12.75">
      <c r="A15">
        <f t="shared" si="3"/>
        <v>8</v>
      </c>
      <c r="B15">
        <f t="shared" si="0"/>
        <v>4</v>
      </c>
      <c r="C15" s="19">
        <v>0.05065</v>
      </c>
      <c r="D15" s="20">
        <f t="shared" si="1"/>
        <v>0.81866764444259</v>
      </c>
      <c r="E15" s="20">
        <f t="shared" si="2"/>
        <v>3.27467057777036</v>
      </c>
      <c r="F15" s="20"/>
      <c r="G15" s="6">
        <f t="shared" si="4"/>
        <v>1</v>
      </c>
      <c r="H15" s="20"/>
      <c r="I15" s="28">
        <f t="shared" si="6"/>
        <v>0.05962772500367292</v>
      </c>
      <c r="J15" s="20">
        <f t="shared" si="7"/>
        <v>0.7905514341250593</v>
      </c>
      <c r="K15" s="20">
        <f t="shared" si="5"/>
        <v>3.1622057365002374</v>
      </c>
      <c r="M15" s="15"/>
      <c r="N15" s="16"/>
    </row>
    <row r="16" spans="1:14" ht="12.75">
      <c r="A16">
        <f t="shared" si="3"/>
        <v>9</v>
      </c>
      <c r="B16">
        <f t="shared" si="0"/>
        <v>4</v>
      </c>
      <c r="C16" s="19">
        <v>0.051701</v>
      </c>
      <c r="D16" s="20">
        <f t="shared" si="1"/>
        <v>0.7947734117051605</v>
      </c>
      <c r="E16" s="20">
        <f t="shared" si="2"/>
        <v>3.179093646820642</v>
      </c>
      <c r="F16" s="20"/>
      <c r="G16" s="6">
        <f t="shared" si="4"/>
        <v>1</v>
      </c>
      <c r="H16" s="20"/>
      <c r="I16" s="28">
        <f t="shared" si="6"/>
        <v>0.05962772500367292</v>
      </c>
      <c r="J16" s="20">
        <f t="shared" si="7"/>
        <v>0.767664393451151</v>
      </c>
      <c r="K16" s="20">
        <f t="shared" si="5"/>
        <v>3.070657573804604</v>
      </c>
      <c r="M16" s="15"/>
      <c r="N16" s="16"/>
    </row>
    <row r="17" spans="1:14" ht="12.75">
      <c r="A17">
        <f t="shared" si="3"/>
        <v>10</v>
      </c>
      <c r="B17">
        <f t="shared" si="0"/>
        <v>4</v>
      </c>
      <c r="C17" s="19">
        <v>0.052772</v>
      </c>
      <c r="D17" s="20">
        <f t="shared" si="1"/>
        <v>0.7707132122235248</v>
      </c>
      <c r="E17" s="20">
        <f t="shared" si="2"/>
        <v>3.0828528488940994</v>
      </c>
      <c r="F17" s="20"/>
      <c r="G17" s="6">
        <f t="shared" si="4"/>
        <v>1</v>
      </c>
      <c r="H17" s="20"/>
      <c r="I17" s="28">
        <f t="shared" si="6"/>
        <v>0.05962772500367292</v>
      </c>
      <c r="J17" s="20">
        <f t="shared" si="7"/>
        <v>0.7454399492993639</v>
      </c>
      <c r="K17" s="20">
        <f t="shared" si="5"/>
        <v>2.9817597971974554</v>
      </c>
      <c r="M17" s="15"/>
      <c r="N17" s="16"/>
    </row>
    <row r="18" spans="1:14" ht="12.75">
      <c r="A18">
        <f t="shared" si="3"/>
        <v>11</v>
      </c>
      <c r="B18">
        <f t="shared" si="0"/>
        <v>4</v>
      </c>
      <c r="C18" s="19">
        <v>0.053864</v>
      </c>
      <c r="D18" s="20">
        <f t="shared" si="1"/>
        <v>0.7465199920317787</v>
      </c>
      <c r="E18" s="20">
        <f t="shared" si="2"/>
        <v>2.9860799681271146</v>
      </c>
      <c r="F18" s="20"/>
      <c r="G18" s="6">
        <f t="shared" si="4"/>
        <v>1</v>
      </c>
      <c r="H18" s="20"/>
      <c r="I18" s="28">
        <f t="shared" si="6"/>
        <v>0.05962772500367292</v>
      </c>
      <c r="J18" s="20">
        <f t="shared" si="7"/>
        <v>0.7238589190170612</v>
      </c>
      <c r="K18" s="20">
        <f t="shared" si="5"/>
        <v>2.895435676068245</v>
      </c>
      <c r="M18" s="15"/>
      <c r="N18" s="16"/>
    </row>
    <row r="19" spans="1:11" ht="12.75">
      <c r="A19">
        <f t="shared" si="3"/>
        <v>12</v>
      </c>
      <c r="B19">
        <f t="shared" si="0"/>
        <v>4</v>
      </c>
      <c r="C19" s="19">
        <v>0.054976</v>
      </c>
      <c r="D19" s="20">
        <f t="shared" si="1"/>
        <v>0.7222356113203231</v>
      </c>
      <c r="E19" s="20">
        <f t="shared" si="2"/>
        <v>2.8889424452812924</v>
      </c>
      <c r="F19" s="20"/>
      <c r="G19" s="6">
        <f t="shared" si="4"/>
        <v>1</v>
      </c>
      <c r="H19" s="20"/>
      <c r="I19" s="28">
        <f t="shared" si="6"/>
        <v>0.05962772500367292</v>
      </c>
      <c r="J19" s="20">
        <f t="shared" si="7"/>
        <v>0.7029026753033928</v>
      </c>
      <c r="K19" s="20">
        <f t="shared" si="5"/>
        <v>2.811610701213571</v>
      </c>
    </row>
    <row r="20" spans="1:11" ht="12.75">
      <c r="A20">
        <f t="shared" si="3"/>
        <v>13</v>
      </c>
      <c r="B20">
        <f t="shared" si="0"/>
        <v>4</v>
      </c>
      <c r="C20" s="19">
        <v>0.056108</v>
      </c>
      <c r="D20" s="20">
        <f t="shared" si="1"/>
        <v>0.6978995952794386</v>
      </c>
      <c r="E20" s="20">
        <f t="shared" si="2"/>
        <v>2.7915983811177543</v>
      </c>
      <c r="F20" s="20"/>
      <c r="G20" s="6">
        <f t="shared" si="4"/>
        <v>1</v>
      </c>
      <c r="H20" s="20"/>
      <c r="I20" s="28">
        <f t="shared" si="6"/>
        <v>0.05962772500367292</v>
      </c>
      <c r="J20" s="20">
        <f t="shared" si="7"/>
        <v>0.6825531301314555</v>
      </c>
      <c r="K20" s="20">
        <f t="shared" si="5"/>
        <v>2.730212520525822</v>
      </c>
    </row>
    <row r="21" spans="1:11" ht="12.75">
      <c r="A21">
        <f t="shared" si="3"/>
        <v>14</v>
      </c>
      <c r="B21">
        <f t="shared" si="0"/>
        <v>4</v>
      </c>
      <c r="C21" s="19">
        <v>0.056643</v>
      </c>
      <c r="D21" s="20">
        <f t="shared" si="1"/>
        <v>0.6763868802279258</v>
      </c>
      <c r="E21" s="20">
        <f t="shared" si="2"/>
        <v>2.7055475209117033</v>
      </c>
      <c r="F21" s="20"/>
      <c r="G21" s="6">
        <f t="shared" si="4"/>
        <v>1</v>
      </c>
      <c r="H21" s="20"/>
      <c r="I21" s="28">
        <f t="shared" si="6"/>
        <v>0.05962772500367292</v>
      </c>
      <c r="J21" s="20">
        <f t="shared" si="7"/>
        <v>0.6627927191359189</v>
      </c>
      <c r="K21" s="20">
        <f t="shared" si="5"/>
        <v>2.6511708765436754</v>
      </c>
    </row>
    <row r="22" spans="1:11" ht="12.75">
      <c r="A22">
        <f t="shared" si="3"/>
        <v>15</v>
      </c>
      <c r="B22">
        <f t="shared" si="0"/>
        <v>4</v>
      </c>
      <c r="C22" s="19">
        <v>0.057193</v>
      </c>
      <c r="D22" s="20">
        <f t="shared" si="1"/>
        <v>0.6551252927199683</v>
      </c>
      <c r="E22" s="20">
        <f t="shared" si="2"/>
        <v>2.6205011708798733</v>
      </c>
      <c r="F22" s="20"/>
      <c r="G22" s="6">
        <f t="shared" si="4"/>
        <v>1</v>
      </c>
      <c r="H22" s="20"/>
      <c r="I22" s="28">
        <f t="shared" si="6"/>
        <v>0.05962772500367292</v>
      </c>
      <c r="J22" s="20">
        <f t="shared" si="7"/>
        <v>0.6436043864526411</v>
      </c>
      <c r="K22" s="20">
        <f t="shared" si="5"/>
        <v>2.5744175458105643</v>
      </c>
    </row>
    <row r="23" spans="1:11" ht="12.75">
      <c r="A23">
        <f t="shared" si="3"/>
        <v>16</v>
      </c>
      <c r="B23">
        <f t="shared" si="0"/>
        <v>4</v>
      </c>
      <c r="C23" s="19">
        <v>0.057755</v>
      </c>
      <c r="D23" s="20">
        <f t="shared" si="1"/>
        <v>0.6341343526245825</v>
      </c>
      <c r="E23" s="20">
        <f t="shared" si="2"/>
        <v>2.53653741049833</v>
      </c>
      <c r="F23" s="20"/>
      <c r="G23" s="6">
        <f t="shared" si="4"/>
        <v>1</v>
      </c>
      <c r="H23" s="20"/>
      <c r="I23" s="28">
        <f t="shared" si="6"/>
        <v>0.05962772500367292</v>
      </c>
      <c r="J23" s="20">
        <f t="shared" si="7"/>
        <v>0.624971569997188</v>
      </c>
      <c r="K23" s="20">
        <f t="shared" si="5"/>
        <v>2.499886279988752</v>
      </c>
    </row>
    <row r="24" spans="1:11" ht="12.75">
      <c r="A24">
        <f t="shared" si="3"/>
        <v>17</v>
      </c>
      <c r="B24">
        <f t="shared" si="0"/>
        <v>4</v>
      </c>
      <c r="C24" s="19">
        <v>0.058331</v>
      </c>
      <c r="D24" s="20">
        <f t="shared" si="1"/>
        <v>0.6134105951694931</v>
      </c>
      <c r="E24" s="20">
        <f t="shared" si="2"/>
        <v>2.4536423806779726</v>
      </c>
      <c r="F24" s="20"/>
      <c r="G24" s="6">
        <f t="shared" si="4"/>
        <v>1</v>
      </c>
      <c r="H24" s="20"/>
      <c r="I24" s="28">
        <f t="shared" si="6"/>
        <v>0.05962772500367292</v>
      </c>
      <c r="J24" s="20">
        <f t="shared" si="7"/>
        <v>0.6068781871695511</v>
      </c>
      <c r="K24" s="20">
        <f t="shared" si="5"/>
        <v>2.4275127486782044</v>
      </c>
    </row>
    <row r="25" spans="1:11" ht="12.75">
      <c r="A25">
        <f t="shared" si="3"/>
        <v>18</v>
      </c>
      <c r="B25">
        <f t="shared" si="0"/>
        <v>4</v>
      </c>
      <c r="C25" s="19">
        <v>0.059584</v>
      </c>
      <c r="D25" s="20">
        <f t="shared" si="1"/>
        <v>0.5895338601940657</v>
      </c>
      <c r="E25" s="20">
        <f t="shared" si="2"/>
        <v>2.358135440776263</v>
      </c>
      <c r="F25" s="20"/>
      <c r="G25" s="6">
        <f t="shared" si="4"/>
        <v>1</v>
      </c>
      <c r="H25" s="20"/>
      <c r="I25" s="28">
        <f t="shared" si="6"/>
        <v>0.05962772500367292</v>
      </c>
      <c r="J25" s="20">
        <f t="shared" si="7"/>
        <v>0.5893086209727235</v>
      </c>
      <c r="K25" s="20">
        <f t="shared" si="5"/>
        <v>2.357234483890894</v>
      </c>
    </row>
    <row r="26" spans="1:11" ht="12.75">
      <c r="A26">
        <f t="shared" si="3"/>
        <v>19</v>
      </c>
      <c r="B26">
        <f t="shared" si="0"/>
        <v>4</v>
      </c>
      <c r="C26" s="19">
        <v>0.060863</v>
      </c>
      <c r="D26" s="20">
        <f t="shared" si="1"/>
        <v>0.5657656771294972</v>
      </c>
      <c r="E26" s="20">
        <f t="shared" si="2"/>
        <v>2.263062708517989</v>
      </c>
      <c r="F26" s="20"/>
      <c r="G26" s="6">
        <f t="shared" si="4"/>
        <v>1</v>
      </c>
      <c r="H26" s="20"/>
      <c r="I26" s="28">
        <f t="shared" si="6"/>
        <v>0.05962772500367292</v>
      </c>
      <c r="J26" s="20">
        <f t="shared" si="7"/>
        <v>0.5722477065331528</v>
      </c>
      <c r="K26" s="20">
        <f t="shared" si="5"/>
        <v>2.2889908261326113</v>
      </c>
    </row>
    <row r="27" spans="1:11" ht="12.75">
      <c r="A27">
        <f t="shared" si="3"/>
        <v>20</v>
      </c>
      <c r="B27">
        <f>100+B26</f>
        <v>104</v>
      </c>
      <c r="C27" s="19">
        <v>0.062169</v>
      </c>
      <c r="D27" s="20">
        <f t="shared" si="1"/>
        <v>0.5421442230321785</v>
      </c>
      <c r="E27" s="20">
        <f>D27*B27</f>
        <v>56.38299919534656</v>
      </c>
      <c r="F27" s="20"/>
      <c r="G27" s="6">
        <f t="shared" si="4"/>
        <v>1</v>
      </c>
      <c r="H27" s="20"/>
      <c r="I27" s="28">
        <f t="shared" si="6"/>
        <v>0.05962772500367292</v>
      </c>
      <c r="J27" s="20">
        <f>1/(1+I27/2)^A27</f>
        <v>0.555680718011438</v>
      </c>
      <c r="K27" s="20">
        <f>J27*B27</f>
        <v>57.79079467318955</v>
      </c>
    </row>
    <row r="28" spans="1:9" ht="12.75">
      <c r="A28" s="13"/>
      <c r="B28" s="13"/>
      <c r="C28" s="13"/>
      <c r="D28" s="13"/>
      <c r="E28" s="13"/>
      <c r="F28" s="13"/>
      <c r="G28" s="3"/>
      <c r="H28" s="3"/>
      <c r="I28" s="13"/>
    </row>
    <row r="29" spans="2:11" ht="12.75">
      <c r="B29" s="13" t="s">
        <v>56</v>
      </c>
      <c r="C29" s="29">
        <f>2*IRR(B7:B27,0.06)</f>
        <v>0.05952772500367292</v>
      </c>
      <c r="D29" s="13" t="s">
        <v>3</v>
      </c>
      <c r="E29" s="22">
        <f>SUM(E8:E27)</f>
        <v>115.26208869842492</v>
      </c>
      <c r="F29" s="23"/>
      <c r="G29" s="21"/>
      <c r="H29" s="21"/>
      <c r="I29" s="20"/>
      <c r="K29" s="22">
        <f>SUM(K8:K27)</f>
        <v>115.18051308897662</v>
      </c>
    </row>
    <row r="30" spans="1:9" ht="12.75">
      <c r="A30" s="14"/>
      <c r="B30" s="18"/>
      <c r="C30" s="18"/>
      <c r="D30" s="18"/>
      <c r="E30" s="18"/>
      <c r="F30" s="18"/>
      <c r="G30" s="18"/>
      <c r="H30" s="18"/>
      <c r="I30" s="18"/>
    </row>
    <row r="31" spans="1:11" ht="12.75">
      <c r="A31" s="14"/>
      <c r="B31" s="18"/>
      <c r="C31" s="18"/>
      <c r="D31" s="26"/>
      <c r="E31" s="30"/>
      <c r="F31" s="18"/>
      <c r="G31" s="18"/>
      <c r="H31" s="18"/>
      <c r="I31" s="18"/>
      <c r="J31" s="25" t="s">
        <v>28</v>
      </c>
      <c r="K31" s="28">
        <f>(K29-E29)/E29</f>
        <v>-0.0007077401630446795</v>
      </c>
    </row>
    <row r="32" spans="1:9" ht="12.75">
      <c r="A32" s="15"/>
      <c r="B32" s="18"/>
      <c r="C32" s="18"/>
      <c r="D32" s="26"/>
      <c r="E32" s="30"/>
      <c r="F32" s="18"/>
      <c r="G32" s="18"/>
      <c r="H32" s="18"/>
      <c r="I32" s="18"/>
    </row>
    <row r="33" spans="1:9" ht="12.75">
      <c r="A33" s="15"/>
      <c r="B33" s="18"/>
      <c r="C33" s="18"/>
      <c r="D33" s="26"/>
      <c r="E33" s="30"/>
      <c r="F33" s="18"/>
      <c r="G33" s="18"/>
      <c r="H33" s="18"/>
      <c r="I33" s="18"/>
    </row>
    <row r="34" spans="1:9" ht="12.75">
      <c r="A34" s="15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5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5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15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15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5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15"/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15"/>
      <c r="B41" s="18"/>
      <c r="C41" s="18"/>
      <c r="D41" s="18"/>
      <c r="E41" s="18"/>
      <c r="F41" s="18"/>
      <c r="G41" s="18"/>
      <c r="H41" s="18"/>
      <c r="I41" s="1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15.28125" style="0" bestFit="1" customWidth="1"/>
    <col min="2" max="2" width="10.421875" style="0" customWidth="1"/>
    <col min="3" max="3" width="14.421875" style="0" customWidth="1"/>
    <col min="4" max="4" width="11.00390625" style="0" customWidth="1"/>
    <col min="5" max="5" width="10.140625" style="0" customWidth="1"/>
    <col min="8" max="8" width="10.00390625" style="0" bestFit="1" customWidth="1"/>
    <col min="11" max="11" width="2.421875" style="0" customWidth="1"/>
    <col min="13" max="13" width="9.7109375" style="0" customWidth="1"/>
  </cols>
  <sheetData>
    <row r="1" spans="1:2" ht="12.75">
      <c r="A1" s="3" t="s">
        <v>0</v>
      </c>
      <c r="B1">
        <v>12</v>
      </c>
    </row>
    <row r="2" spans="1:3" ht="12.75">
      <c r="A2" s="3" t="s">
        <v>1</v>
      </c>
      <c r="B2">
        <v>5</v>
      </c>
      <c r="C2" t="s">
        <v>2</v>
      </c>
    </row>
    <row r="3" spans="1:2" ht="12.75">
      <c r="A3" s="3" t="s">
        <v>33</v>
      </c>
      <c r="B3" s="15">
        <v>0.0755</v>
      </c>
    </row>
    <row r="4" spans="2:13" ht="12.75">
      <c r="B4" s="13"/>
      <c r="H4" s="61" t="s">
        <v>40</v>
      </c>
      <c r="I4" s="61"/>
      <c r="J4" s="61"/>
      <c r="K4" s="4"/>
      <c r="L4" s="61" t="s">
        <v>41</v>
      </c>
      <c r="M4" s="61"/>
    </row>
    <row r="5" spans="1:13" ht="12.75">
      <c r="A5" s="13" t="s">
        <v>20</v>
      </c>
      <c r="B5" s="13" t="s">
        <v>22</v>
      </c>
      <c r="C5" s="3" t="s">
        <v>23</v>
      </c>
      <c r="D5" s="13" t="s">
        <v>24</v>
      </c>
      <c r="E5" s="13" t="s">
        <v>34</v>
      </c>
      <c r="F5" s="13" t="s">
        <v>35</v>
      </c>
      <c r="H5" s="37" t="s">
        <v>38</v>
      </c>
      <c r="I5" s="4">
        <v>0</v>
      </c>
      <c r="J5" s="37" t="s">
        <v>39</v>
      </c>
      <c r="K5" s="37"/>
      <c r="L5" s="37" t="s">
        <v>38</v>
      </c>
      <c r="M5" s="37" t="s">
        <v>39</v>
      </c>
    </row>
    <row r="6" spans="1:13" ht="12.75">
      <c r="A6" s="13"/>
      <c r="B6" s="34">
        <f>-D18</f>
        <v>-118.25058951388243</v>
      </c>
      <c r="C6" s="3"/>
      <c r="D6" s="13"/>
      <c r="H6" s="36">
        <f aca="true" t="shared" si="0" ref="H6:H16">PV($B$3/2+0.0001,$A$16-A6,-$B$1/2,-100)</f>
        <v>118.15947257057758</v>
      </c>
      <c r="I6" s="36">
        <f aca="true" t="shared" si="1" ref="I6:I16">PV($B$3/2+0,$A$16-A6,-$B$1/2,-100)</f>
        <v>118.25058951388242</v>
      </c>
      <c r="J6" s="36">
        <f>PV($B$3/2-0.0001,$A$16-A6,-$B$1/2,-100)</f>
        <v>118.34179542366357</v>
      </c>
      <c r="K6" s="36"/>
      <c r="L6" s="39">
        <f>10000*(H6-I6)/I6</f>
        <v>-7.705411337010123</v>
      </c>
      <c r="M6" s="39">
        <f>10000*(J6-I6)/I6</f>
        <v>7.712934891579949</v>
      </c>
    </row>
    <row r="7" spans="1:13" ht="12.75">
      <c r="A7">
        <v>1</v>
      </c>
      <c r="B7">
        <f aca="true" t="shared" si="2" ref="B7:B15">$B$1/2</f>
        <v>6</v>
      </c>
      <c r="C7" s="20">
        <f>1/(1+$B$3/2)^A7</f>
        <v>0.9636232233196821</v>
      </c>
      <c r="D7" s="20">
        <f aca="true" t="shared" si="3" ref="D7:D16">C7*B7</f>
        <v>5.781739339918093</v>
      </c>
      <c r="E7" s="20">
        <f>D7/$D$18</f>
        <v>0.04889395785413252</v>
      </c>
      <c r="F7" s="20">
        <f>E7*A7</f>
        <v>0.04889395785413252</v>
      </c>
      <c r="H7" s="36">
        <f t="shared" si="0"/>
        <v>116.63180860737394</v>
      </c>
      <c r="I7" s="36">
        <f t="shared" si="1"/>
        <v>116.71454926803148</v>
      </c>
      <c r="J7" s="36">
        <f aca="true" t="shared" si="4" ref="J7:J16">PV($B$3/2-0.0001,$A$16-A7,-$B$1/2,-100)</f>
        <v>116.79736402136452</v>
      </c>
      <c r="K7" s="36"/>
      <c r="L7" s="38">
        <f aca="true" t="shared" si="5" ref="L7:L16">10000*(H7-I7)/I7</f>
        <v>-7.0891470837559165</v>
      </c>
      <c r="M7" s="38">
        <f aca="true" t="shared" si="6" ref="M7:M16">10000*(J7-I7)/I7</f>
        <v>7.095495279072521</v>
      </c>
    </row>
    <row r="8" spans="1:13" ht="12.75">
      <c r="A8">
        <f aca="true" t="shared" si="7" ref="A8:A16">A7+1</f>
        <v>2</v>
      </c>
      <c r="B8">
        <f t="shared" si="2"/>
        <v>6</v>
      </c>
      <c r="C8" s="20">
        <f aca="true" t="shared" si="8" ref="C8:C16">1/(1+$B$3/2)^A8</f>
        <v>0.9285697165210137</v>
      </c>
      <c r="D8" s="20">
        <f t="shared" si="3"/>
        <v>5.5714182991260826</v>
      </c>
      <c r="E8" s="20">
        <f aca="true" t="shared" si="9" ref="E8:E16">D8/$D$18</f>
        <v>0.04711535326825586</v>
      </c>
      <c r="F8" s="20">
        <f aca="true" t="shared" si="10" ref="F8:F16">E8*A8</f>
        <v>0.09423070653651172</v>
      </c>
      <c r="H8" s="36">
        <f t="shared" si="0"/>
        <v>115.04632256316303</v>
      </c>
      <c r="I8" s="36">
        <f t="shared" si="1"/>
        <v>115.12052350289966</v>
      </c>
      <c r="J8" s="36">
        <f t="shared" si="4"/>
        <v>115.19478477676888</v>
      </c>
      <c r="K8" s="36"/>
      <c r="L8" s="38">
        <f t="shared" si="5"/>
        <v>-6.4455005483673355</v>
      </c>
      <c r="M8" s="38">
        <f t="shared" si="6"/>
        <v>6.450741502001194</v>
      </c>
    </row>
    <row r="9" spans="1:13" ht="12.75">
      <c r="A9">
        <f t="shared" si="7"/>
        <v>3</v>
      </c>
      <c r="B9">
        <f t="shared" si="2"/>
        <v>6</v>
      </c>
      <c r="C9" s="20">
        <f t="shared" si="8"/>
        <v>0.8947913433110226</v>
      </c>
      <c r="D9" s="20">
        <f t="shared" si="3"/>
        <v>5.368748059866135</v>
      </c>
      <c r="E9" s="20">
        <f t="shared" si="9"/>
        <v>0.04540144858420222</v>
      </c>
      <c r="F9" s="20">
        <f t="shared" si="10"/>
        <v>0.13620434575260665</v>
      </c>
      <c r="H9" s="36">
        <f t="shared" si="0"/>
        <v>113.40082587217876</v>
      </c>
      <c r="I9" s="36">
        <f t="shared" si="1"/>
        <v>113.46632326513412</v>
      </c>
      <c r="J9" s="36">
        <f t="shared" si="4"/>
        <v>113.53186842361424</v>
      </c>
      <c r="K9" s="36"/>
      <c r="L9" s="38">
        <f t="shared" si="5"/>
        <v>-5.7724081534147</v>
      </c>
      <c r="M9" s="38">
        <f t="shared" si="6"/>
        <v>5.776617818748038</v>
      </c>
    </row>
    <row r="10" spans="1:13" ht="12.75">
      <c r="A10">
        <f t="shared" si="7"/>
        <v>4</v>
      </c>
      <c r="B10">
        <f t="shared" si="2"/>
        <v>6</v>
      </c>
      <c r="C10" s="20">
        <f t="shared" si="8"/>
        <v>0.8622417184399159</v>
      </c>
      <c r="D10" s="20">
        <f t="shared" si="3"/>
        <v>5.173450310639495</v>
      </c>
      <c r="E10" s="20">
        <f t="shared" si="9"/>
        <v>0.04374989022809176</v>
      </c>
      <c r="F10" s="20">
        <f t="shared" si="10"/>
        <v>0.17499956091236704</v>
      </c>
      <c r="H10" s="36">
        <f t="shared" si="0"/>
        <v>111.69304713144074</v>
      </c>
      <c r="I10" s="36">
        <f t="shared" si="1"/>
        <v>111.74967696839295</v>
      </c>
      <c r="J10" s="36">
        <f t="shared" si="4"/>
        <v>111.8063432697633</v>
      </c>
      <c r="K10" s="36"/>
      <c r="L10" s="38">
        <f t="shared" si="5"/>
        <v>-5.067561579460193</v>
      </c>
      <c r="M10" s="38">
        <f t="shared" si="6"/>
        <v>5.070824624073275</v>
      </c>
    </row>
    <row r="11" spans="1:13" ht="12.75">
      <c r="A11">
        <f t="shared" si="7"/>
        <v>5</v>
      </c>
      <c r="B11">
        <f t="shared" si="2"/>
        <v>6</v>
      </c>
      <c r="C11" s="20">
        <f t="shared" si="8"/>
        <v>0.8308761440037734</v>
      </c>
      <c r="D11" s="20">
        <f t="shared" si="3"/>
        <v>4.985256864022641</v>
      </c>
      <c r="E11" s="20">
        <f t="shared" si="9"/>
        <v>0.04215841024147604</v>
      </c>
      <c r="F11" s="20">
        <f t="shared" si="10"/>
        <v>0.2107920512073802</v>
      </c>
      <c r="H11" s="36">
        <f t="shared" si="0"/>
        <v>109.92062896536576</v>
      </c>
      <c r="I11" s="36">
        <f t="shared" si="1"/>
        <v>109.9682272739498</v>
      </c>
      <c r="J11" s="36">
        <f t="shared" si="4"/>
        <v>110.01585209386991</v>
      </c>
      <c r="K11" s="36"/>
      <c r="L11" s="38">
        <f t="shared" si="5"/>
        <v>-4.328369181168373</v>
      </c>
      <c r="M11" s="38">
        <f t="shared" si="6"/>
        <v>4.3307799989787</v>
      </c>
    </row>
    <row r="12" spans="1:13" ht="12.75">
      <c r="A12">
        <f t="shared" si="7"/>
        <v>6</v>
      </c>
      <c r="B12">
        <f t="shared" si="2"/>
        <v>6</v>
      </c>
      <c r="C12" s="20">
        <f t="shared" si="8"/>
        <v>0.8006515480643445</v>
      </c>
      <c r="D12" s="20">
        <f t="shared" si="3"/>
        <v>4.803909288386067</v>
      </c>
      <c r="E12" s="20">
        <f t="shared" si="9"/>
        <v>0.04062482316692464</v>
      </c>
      <c r="F12" s="20">
        <f t="shared" si="10"/>
        <v>0.24374893900154782</v>
      </c>
      <c r="G12" s="16"/>
      <c r="H12" s="36">
        <f t="shared" si="0"/>
        <v>108.08112477170485</v>
      </c>
      <c r="I12" s="36">
        <f t="shared" si="1"/>
        <v>108.11952785354138</v>
      </c>
      <c r="J12" s="36">
        <f t="shared" si="4"/>
        <v>108.15794892520411</v>
      </c>
      <c r="K12" s="36"/>
      <c r="L12" s="38">
        <f t="shared" si="5"/>
        <v>-3.55190987224393</v>
      </c>
      <c r="M12" s="38">
        <f t="shared" si="6"/>
        <v>3.553573755406172</v>
      </c>
    </row>
    <row r="13" spans="1:13" ht="12.75">
      <c r="A13">
        <f t="shared" si="7"/>
        <v>7</v>
      </c>
      <c r="B13">
        <f t="shared" si="2"/>
        <v>6</v>
      </c>
      <c r="C13" s="20">
        <f t="shared" si="8"/>
        <v>0.7715264255016568</v>
      </c>
      <c r="D13" s="20">
        <f t="shared" si="3"/>
        <v>4.629158553009941</v>
      </c>
      <c r="E13" s="20">
        <f t="shared" si="9"/>
        <v>0.03914702304690401</v>
      </c>
      <c r="F13" s="20">
        <f t="shared" si="10"/>
        <v>0.2740291613283281</v>
      </c>
      <c r="G13" s="16"/>
      <c r="H13" s="36">
        <f t="shared" si="0"/>
        <v>106.17199534431388</v>
      </c>
      <c r="I13" s="36">
        <f t="shared" si="1"/>
        <v>106.20104003001258</v>
      </c>
      <c r="J13" s="36">
        <f t="shared" si="4"/>
        <v>106.23009570223805</v>
      </c>
      <c r="K13" s="36"/>
      <c r="L13" s="38">
        <f t="shared" si="5"/>
        <v>-2.7348777083995746</v>
      </c>
      <c r="M13" s="38">
        <f t="shared" si="6"/>
        <v>2.735912211147519</v>
      </c>
    </row>
    <row r="14" spans="1:13" ht="12.75">
      <c r="A14">
        <f t="shared" si="7"/>
        <v>8</v>
      </c>
      <c r="B14">
        <f t="shared" si="2"/>
        <v>6</v>
      </c>
      <c r="C14" s="20">
        <f t="shared" si="8"/>
        <v>0.7434607810182191</v>
      </c>
      <c r="D14" s="20">
        <f t="shared" si="3"/>
        <v>4.460764686109314</v>
      </c>
      <c r="E14" s="20">
        <f t="shared" si="9"/>
        <v>0.03772298053182752</v>
      </c>
      <c r="F14" s="20">
        <f t="shared" si="10"/>
        <v>0.3017838442546202</v>
      </c>
      <c r="G14" s="16"/>
      <c r="H14" s="36">
        <f t="shared" si="0"/>
        <v>104.19060536809616</v>
      </c>
      <c r="I14" s="36">
        <f t="shared" si="1"/>
        <v>104.21012929114555</v>
      </c>
      <c r="J14" s="36">
        <f t="shared" si="4"/>
        <v>104.2296588054273</v>
      </c>
      <c r="K14" s="36"/>
      <c r="L14" s="38">
        <f t="shared" si="5"/>
        <v>-1.8735149051436784</v>
      </c>
      <c r="M14" s="38">
        <f t="shared" si="6"/>
        <v>1.874051439586541</v>
      </c>
    </row>
    <row r="15" spans="1:13" ht="12.75">
      <c r="A15">
        <f t="shared" si="7"/>
        <v>9</v>
      </c>
      <c r="B15">
        <f t="shared" si="2"/>
        <v>6</v>
      </c>
      <c r="C15" s="20">
        <f t="shared" si="8"/>
        <v>0.7164160742165446</v>
      </c>
      <c r="D15" s="20">
        <f t="shared" si="3"/>
        <v>4.298496445299268</v>
      </c>
      <c r="E15" s="20">
        <f t="shared" si="9"/>
        <v>0.03635074009330525</v>
      </c>
      <c r="F15" s="20">
        <f t="shared" si="10"/>
        <v>0.32715666083974726</v>
      </c>
      <c r="G15" s="16"/>
      <c r="H15" s="36">
        <f t="shared" si="0"/>
        <v>102.1342197812786</v>
      </c>
      <c r="I15" s="36">
        <f t="shared" si="1"/>
        <v>102.14406167188628</v>
      </c>
      <c r="J15" s="36">
        <f t="shared" si="4"/>
        <v>102.15390545945165</v>
      </c>
      <c r="K15" s="36"/>
      <c r="L15" s="38">
        <f t="shared" si="5"/>
        <v>-0.9635303752937924</v>
      </c>
      <c r="M15" s="38">
        <f t="shared" si="6"/>
        <v>0.9637160892420561</v>
      </c>
    </row>
    <row r="16" spans="1:13" ht="12.75">
      <c r="A16">
        <f t="shared" si="7"/>
        <v>10</v>
      </c>
      <c r="B16">
        <f>100+$B$1/2</f>
        <v>106</v>
      </c>
      <c r="C16" s="20">
        <f t="shared" si="8"/>
        <v>0.6903551666745792</v>
      </c>
      <c r="D16" s="20">
        <f t="shared" si="3"/>
        <v>73.1776476675054</v>
      </c>
      <c r="E16" s="20">
        <f t="shared" si="9"/>
        <v>0.6188353729848802</v>
      </c>
      <c r="F16" s="20">
        <f t="shared" si="10"/>
        <v>6.188353729848802</v>
      </c>
      <c r="G16" s="16"/>
      <c r="H16" s="36">
        <f t="shared" si="0"/>
        <v>100</v>
      </c>
      <c r="I16" s="36">
        <f t="shared" si="1"/>
        <v>100</v>
      </c>
      <c r="J16" s="36">
        <f t="shared" si="4"/>
        <v>100</v>
      </c>
      <c r="K16" s="36"/>
      <c r="L16" s="38">
        <f t="shared" si="5"/>
        <v>0</v>
      </c>
      <c r="M16" s="38">
        <f t="shared" si="6"/>
        <v>0</v>
      </c>
    </row>
    <row r="17" spans="1:4" ht="12.75">
      <c r="A17" s="13"/>
      <c r="B17" s="13"/>
      <c r="C17" s="13"/>
      <c r="D17" s="13"/>
    </row>
    <row r="18" spans="1:7" ht="12.75">
      <c r="A18" s="33" t="s">
        <v>59</v>
      </c>
      <c r="B18" s="35">
        <f>2*IRR(B6:B16,0.06)</f>
        <v>0.07550000000011348</v>
      </c>
      <c r="C18" s="13" t="s">
        <v>25</v>
      </c>
      <c r="D18" s="31">
        <f>SUM(D7:D16)</f>
        <v>118.25058951388243</v>
      </c>
      <c r="E18" s="20">
        <f>SUM(E7:E16)</f>
        <v>1</v>
      </c>
      <c r="F18" s="40">
        <f>SUM(F7:F16)</f>
        <v>8.000192957536044</v>
      </c>
      <c r="G18" t="s">
        <v>60</v>
      </c>
    </row>
    <row r="19" spans="1:7" ht="12.75">
      <c r="A19" s="14"/>
      <c r="B19" s="18"/>
      <c r="C19" s="18"/>
      <c r="D19" s="18"/>
      <c r="F19" s="41">
        <f>F18/(1+B3/2)</f>
        <v>7.709171724920303</v>
      </c>
      <c r="G19" t="s">
        <v>36</v>
      </c>
    </row>
    <row r="20" spans="1:4" ht="12.75">
      <c r="A20" s="14"/>
      <c r="B20" s="18"/>
      <c r="C20" s="26"/>
      <c r="D20" s="30"/>
    </row>
    <row r="21" spans="1:4" ht="12.75">
      <c r="A21" s="15"/>
      <c r="B21" s="18"/>
      <c r="C21" s="26"/>
      <c r="D21" s="30"/>
    </row>
    <row r="22" spans="2:13" ht="12.75">
      <c r="B22" s="13"/>
      <c r="H22" s="61" t="s">
        <v>40</v>
      </c>
      <c r="I22" s="61"/>
      <c r="J22" s="61"/>
      <c r="K22" s="4"/>
      <c r="L22" s="61" t="s">
        <v>41</v>
      </c>
      <c r="M22" s="61"/>
    </row>
    <row r="23" spans="1:13" ht="12.75">
      <c r="A23" s="13" t="s">
        <v>20</v>
      </c>
      <c r="B23" s="13" t="s">
        <v>22</v>
      </c>
      <c r="C23" s="3" t="s">
        <v>23</v>
      </c>
      <c r="D23" s="13" t="s">
        <v>24</v>
      </c>
      <c r="E23" s="13"/>
      <c r="F23" s="13"/>
      <c r="H23" s="37" t="s">
        <v>38</v>
      </c>
      <c r="I23" s="4">
        <v>0</v>
      </c>
      <c r="J23" s="37" t="s">
        <v>39</v>
      </c>
      <c r="K23" s="37"/>
      <c r="L23" s="37" t="s">
        <v>38</v>
      </c>
      <c r="M23" s="37" t="s">
        <v>39</v>
      </c>
    </row>
    <row r="24" spans="1:13" ht="12.75">
      <c r="A24" s="13"/>
      <c r="B24" s="34"/>
      <c r="C24" s="3"/>
      <c r="D24" s="13"/>
      <c r="H24" s="36">
        <f>PV($B$3/2+0.0001,$A$32-A24,0,-100)</f>
        <v>74.28878966068979</v>
      </c>
      <c r="I24" s="36">
        <f>PV($B$3/2+0,$A$32-A24,0,-100)</f>
        <v>74.34607810182192</v>
      </c>
      <c r="J24" s="36">
        <f>PV($B$3/2-0.0001,$A$32-A24,0,-100)</f>
        <v>74.40341624853028</v>
      </c>
      <c r="K24" s="36"/>
      <c r="L24" s="39">
        <f>10000*(H24-I24)/I24</f>
        <v>-7.70564400904502</v>
      </c>
      <c r="M24" s="39">
        <f>10000*(J24-I24)/I24</f>
        <v>7.712329711572985</v>
      </c>
    </row>
    <row r="25" spans="1:13" ht="12.75">
      <c r="A25">
        <v>1</v>
      </c>
      <c r="B25">
        <v>0</v>
      </c>
      <c r="C25" s="20">
        <f>1/(1+$B$3/2)^A25</f>
        <v>0.9636232233196821</v>
      </c>
      <c r="D25" s="20"/>
      <c r="E25" s="20"/>
      <c r="F25" s="20"/>
      <c r="H25" s="36">
        <f aca="true" t="shared" si="11" ref="H25:H32">PV($B$3/2+0.0001,$A$32-A25,0,-100)</f>
        <v>77.1006203493469</v>
      </c>
      <c r="I25" s="36">
        <f aca="true" t="shared" si="12" ref="I25:I32">PV($B$3/2+0,$A$32-A25,0,-100)</f>
        <v>77.1526425501657</v>
      </c>
      <c r="J25" s="36">
        <f aca="true" t="shared" si="13" ref="J25:J32">PV($B$3/2-0.0001,$A$32-A25,0,-100)</f>
        <v>77.20470487028744</v>
      </c>
      <c r="K25" s="36"/>
      <c r="L25" s="38">
        <f aca="true" t="shared" si="14" ref="L25:L32">10000*(H25-I25)/I25</f>
        <v>-6.742763319476921</v>
      </c>
      <c r="M25" s="38">
        <f aca="true" t="shared" si="15" ref="M25:M32">10000*(J25-I25)/I25</f>
        <v>6.747963310251793</v>
      </c>
    </row>
    <row r="26" spans="1:13" ht="12.75">
      <c r="A26">
        <f aca="true" t="shared" si="16" ref="A26:A32">A25+1</f>
        <v>2</v>
      </c>
      <c r="B26">
        <v>0</v>
      </c>
      <c r="C26" s="20">
        <f aca="true" t="shared" si="17" ref="C26:C32">1/(1+$B$3/2)^A26</f>
        <v>0.9285697165210137</v>
      </c>
      <c r="D26" s="20"/>
      <c r="E26" s="20"/>
      <c r="F26" s="20"/>
      <c r="H26" s="36">
        <f t="shared" si="11"/>
        <v>80.01887882956967</v>
      </c>
      <c r="I26" s="36">
        <f t="shared" si="12"/>
        <v>80.06515480643444</v>
      </c>
      <c r="J26" s="36">
        <f t="shared" si="13"/>
        <v>80.11146200865376</v>
      </c>
      <c r="K26" s="36"/>
      <c r="L26" s="38">
        <f t="shared" si="14"/>
        <v>-5.779789844488499</v>
      </c>
      <c r="M26" s="38">
        <f t="shared" si="15"/>
        <v>5.783689837517558</v>
      </c>
    </row>
    <row r="27" spans="1:13" ht="12.75">
      <c r="A27">
        <f t="shared" si="16"/>
        <v>3</v>
      </c>
      <c r="B27">
        <v>0</v>
      </c>
      <c r="C27" s="20">
        <f t="shared" si="17"/>
        <v>0.8947913433110226</v>
      </c>
      <c r="D27" s="20"/>
      <c r="E27" s="20"/>
      <c r="F27" s="20"/>
      <c r="H27" s="36">
        <f t="shared" si="11"/>
        <v>83.0475933932689</v>
      </c>
      <c r="I27" s="36">
        <f t="shared" si="12"/>
        <v>83.08761440037733</v>
      </c>
      <c r="J27" s="36">
        <f t="shared" si="13"/>
        <v>83.12765855327957</v>
      </c>
      <c r="K27" s="36"/>
      <c r="L27" s="38">
        <f t="shared" si="14"/>
        <v>-4.816723575139037</v>
      </c>
      <c r="M27" s="38">
        <f t="shared" si="15"/>
        <v>4.819509284413672</v>
      </c>
    </row>
    <row r="28" spans="1:13" ht="12.75">
      <c r="A28">
        <f t="shared" si="16"/>
        <v>4</v>
      </c>
      <c r="B28">
        <v>0</v>
      </c>
      <c r="C28" s="20">
        <f t="shared" si="17"/>
        <v>0.8622417184399159</v>
      </c>
      <c r="D28" s="20"/>
      <c r="E28" s="20"/>
      <c r="F28" s="20"/>
      <c r="H28" s="36">
        <f t="shared" si="11"/>
        <v>86.19094480320412</v>
      </c>
      <c r="I28" s="36">
        <f t="shared" si="12"/>
        <v>86.22417184399158</v>
      </c>
      <c r="J28" s="36">
        <f t="shared" si="13"/>
        <v>86.25741489781053</v>
      </c>
      <c r="K28" s="36"/>
      <c r="L28" s="38">
        <f t="shared" si="14"/>
        <v>-3.853564502490649</v>
      </c>
      <c r="M28" s="38">
        <f t="shared" si="15"/>
        <v>3.8554216419843033</v>
      </c>
    </row>
    <row r="29" spans="1:13" ht="12.75">
      <c r="A29">
        <f t="shared" si="16"/>
        <v>5</v>
      </c>
      <c r="B29">
        <v>0</v>
      </c>
      <c r="C29" s="20">
        <f t="shared" si="17"/>
        <v>0.8308761440037734</v>
      </c>
      <c r="D29" s="20"/>
      <c r="E29" s="20"/>
      <c r="F29" s="20"/>
      <c r="H29" s="36">
        <f t="shared" si="11"/>
        <v>89.4532720640054</v>
      </c>
      <c r="I29" s="36">
        <f t="shared" si="12"/>
        <v>89.47913433110226</v>
      </c>
      <c r="J29" s="36">
        <f t="shared" si="13"/>
        <v>89.5050065687131</v>
      </c>
      <c r="K29" s="36"/>
      <c r="L29" s="38">
        <f t="shared" si="14"/>
        <v>-2.890312617593729</v>
      </c>
      <c r="M29" s="38">
        <f t="shared" si="15"/>
        <v>2.8914269012823817</v>
      </c>
    </row>
    <row r="30" spans="1:13" ht="12.75">
      <c r="A30">
        <f t="shared" si="16"/>
        <v>6</v>
      </c>
      <c r="B30">
        <v>0</v>
      </c>
      <c r="C30" s="20">
        <f t="shared" si="17"/>
        <v>0.8006515480643445</v>
      </c>
      <c r="D30" s="20"/>
      <c r="E30" s="20"/>
      <c r="F30" s="20"/>
      <c r="G30" s="16"/>
      <c r="H30" s="36">
        <f t="shared" si="11"/>
        <v>92.839078411628</v>
      </c>
      <c r="I30" s="36">
        <f t="shared" si="12"/>
        <v>92.85697165210138</v>
      </c>
      <c r="J30" s="36">
        <f t="shared" si="13"/>
        <v>92.87487006602515</v>
      </c>
      <c r="K30" s="36"/>
      <c r="L30" s="38">
        <f t="shared" si="14"/>
        <v>-1.9269679115126865</v>
      </c>
      <c r="M30" s="38">
        <f t="shared" si="15"/>
        <v>1.9275250533511308</v>
      </c>
    </row>
    <row r="31" spans="1:13" ht="12.75">
      <c r="A31">
        <f t="shared" si="16"/>
        <v>7</v>
      </c>
      <c r="B31">
        <v>0</v>
      </c>
      <c r="C31" s="20">
        <f t="shared" si="17"/>
        <v>0.7715264255016568</v>
      </c>
      <c r="D31" s="20"/>
      <c r="E31" s="20"/>
      <c r="F31" s="20"/>
      <c r="G31" s="16"/>
      <c r="H31" s="36">
        <f t="shared" si="11"/>
        <v>96.35303752950813</v>
      </c>
      <c r="I31" s="36">
        <f t="shared" si="12"/>
        <v>96.3623223319682</v>
      </c>
      <c r="J31" s="36">
        <f t="shared" si="13"/>
        <v>96.37160892401099</v>
      </c>
      <c r="K31" s="36"/>
      <c r="L31" s="38">
        <f t="shared" si="14"/>
        <v>-0.9635303752940427</v>
      </c>
      <c r="M31" s="38">
        <f t="shared" si="15"/>
        <v>0.9637160892399134</v>
      </c>
    </row>
    <row r="32" spans="1:13" ht="12.75">
      <c r="A32">
        <f t="shared" si="16"/>
        <v>8</v>
      </c>
      <c r="B32">
        <v>100</v>
      </c>
      <c r="C32" s="20">
        <f t="shared" si="17"/>
        <v>0.7434607810182191</v>
      </c>
      <c r="D32" s="20">
        <f>C32*B32</f>
        <v>74.34607810182192</v>
      </c>
      <c r="E32" s="20"/>
      <c r="F32" s="20"/>
      <c r="G32" s="16"/>
      <c r="H32" s="36">
        <f t="shared" si="11"/>
        <v>100</v>
      </c>
      <c r="I32" s="36">
        <f t="shared" si="12"/>
        <v>100</v>
      </c>
      <c r="J32" s="36">
        <f t="shared" si="13"/>
        <v>100</v>
      </c>
      <c r="K32" s="36"/>
      <c r="L32" s="38">
        <f t="shared" si="14"/>
        <v>0</v>
      </c>
      <c r="M32" s="38">
        <f t="shared" si="15"/>
        <v>0</v>
      </c>
    </row>
    <row r="33" spans="1:4" ht="12.75">
      <c r="A33" s="13"/>
      <c r="B33" s="13"/>
      <c r="C33" s="13"/>
      <c r="D33" s="13"/>
    </row>
    <row r="34" spans="1:6" ht="12.75">
      <c r="A34" s="33"/>
      <c r="B34" s="35"/>
      <c r="C34" s="13"/>
      <c r="D34" s="31"/>
      <c r="E34" s="20"/>
      <c r="F34" s="32"/>
    </row>
    <row r="35" spans="1:6" ht="12.75">
      <c r="A35" s="14"/>
      <c r="B35" s="18"/>
      <c r="C35" s="18"/>
      <c r="D35" s="18"/>
      <c r="F35" s="32"/>
    </row>
  </sheetData>
  <sheetProtection/>
  <mergeCells count="4">
    <mergeCell ref="H4:J4"/>
    <mergeCell ref="L4:M4"/>
    <mergeCell ref="H22:J22"/>
    <mergeCell ref="L22:M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7" sqref="F7"/>
    </sheetView>
  </sheetViews>
  <sheetFormatPr defaultColWidth="8.8515625" defaultRowHeight="12.75"/>
  <cols>
    <col min="1" max="1" width="15.28125" style="0" bestFit="1" customWidth="1"/>
    <col min="2" max="4" width="10.421875" style="0" customWidth="1"/>
    <col min="6" max="6" width="10.00390625" style="0" bestFit="1" customWidth="1"/>
    <col min="9" max="9" width="2.421875" style="0" customWidth="1"/>
  </cols>
  <sheetData>
    <row r="1" spans="1:2" ht="12.75">
      <c r="A1" s="3" t="s">
        <v>0</v>
      </c>
      <c r="B1">
        <v>12</v>
      </c>
    </row>
    <row r="2" spans="1:10" ht="12.75">
      <c r="A2" s="3" t="s">
        <v>1</v>
      </c>
      <c r="B2">
        <v>5</v>
      </c>
      <c r="C2" t="s">
        <v>2</v>
      </c>
      <c r="F2" s="3" t="s">
        <v>45</v>
      </c>
      <c r="J2" s="3" t="s">
        <v>24</v>
      </c>
    </row>
    <row r="3" spans="1:4" ht="12.75">
      <c r="A3" s="3" t="s">
        <v>33</v>
      </c>
      <c r="B3" s="15">
        <v>0.0755</v>
      </c>
      <c r="C3" s="15"/>
      <c r="D3" s="15"/>
    </row>
    <row r="4" spans="1:12" ht="12.75">
      <c r="A4" s="3" t="s">
        <v>46</v>
      </c>
      <c r="B4" s="46">
        <v>1</v>
      </c>
      <c r="C4" s="45" t="s">
        <v>47</v>
      </c>
      <c r="D4" s="13"/>
      <c r="F4" s="61" t="s">
        <v>40</v>
      </c>
      <c r="G4" s="61"/>
      <c r="H4" s="61"/>
      <c r="I4" s="4"/>
      <c r="J4" s="61" t="s">
        <v>40</v>
      </c>
      <c r="K4" s="61"/>
      <c r="L4" s="61"/>
    </row>
    <row r="5" spans="2:12" ht="12.75">
      <c r="B5" s="13"/>
      <c r="C5" s="13"/>
      <c r="D5" s="13"/>
      <c r="F5" s="4"/>
      <c r="G5" s="4"/>
      <c r="H5" s="4"/>
      <c r="I5" s="4"/>
      <c r="J5" s="4"/>
      <c r="K5" s="4"/>
      <c r="L5" s="4"/>
    </row>
    <row r="6" spans="1:12" ht="12.75">
      <c r="A6" s="13" t="s">
        <v>20</v>
      </c>
      <c r="B6" s="13" t="s">
        <v>42</v>
      </c>
      <c r="C6" s="13" t="s">
        <v>43</v>
      </c>
      <c r="D6" s="13" t="s">
        <v>44</v>
      </c>
      <c r="F6" s="4" t="s">
        <v>48</v>
      </c>
      <c r="G6" s="4">
        <v>0</v>
      </c>
      <c r="H6" s="4" t="s">
        <v>49</v>
      </c>
      <c r="I6" s="37"/>
      <c r="J6" s="4" t="s">
        <v>48</v>
      </c>
      <c r="K6" s="4">
        <v>0</v>
      </c>
      <c r="L6" s="4" t="s">
        <v>49</v>
      </c>
    </row>
    <row r="7" spans="1:12" ht="12.75">
      <c r="A7" s="13"/>
      <c r="B7" s="42">
        <f>-'Primer 10'!B6</f>
        <v>118.25058951388243</v>
      </c>
      <c r="C7" s="42">
        <f>-PV(B3/2,B22,0,-C15)</f>
        <v>-74.34607810182192</v>
      </c>
      <c r="D7" s="42">
        <f>B7+C7</f>
        <v>43.904511412060515</v>
      </c>
      <c r="F7" s="7">
        <f>1/(1+$B$3/2+$B$4)^A7</f>
        <v>1</v>
      </c>
      <c r="G7" s="7">
        <f>1/(1+$B$3/2)^A7</f>
        <v>1</v>
      </c>
      <c r="H7" s="7">
        <f>1/(1+$B$3/2-$B$4/10000)^A7</f>
        <v>1</v>
      </c>
      <c r="I7" s="36"/>
      <c r="J7" s="26">
        <f>D7*F7</f>
        <v>43.904511412060515</v>
      </c>
      <c r="K7" s="26">
        <f>D7*G7</f>
        <v>43.904511412060515</v>
      </c>
      <c r="L7" s="26">
        <f>D7*H7</f>
        <v>43.904511412060515</v>
      </c>
    </row>
    <row r="8" spans="1:12" ht="12.75">
      <c r="A8">
        <v>1</v>
      </c>
      <c r="B8" s="44">
        <f>-$B$1/2</f>
        <v>-6</v>
      </c>
      <c r="C8" s="44">
        <v>0</v>
      </c>
      <c r="D8" s="43">
        <f aca="true" t="shared" si="0" ref="D8:D17">B8+C8</f>
        <v>-6</v>
      </c>
      <c r="F8" s="7">
        <f>1/(1+$B$3/2+$B$4/10000)^A8</f>
        <v>0.9635303752950812</v>
      </c>
      <c r="G8" s="7">
        <f aca="true" t="shared" si="1" ref="G8:G17">1/(1+$B$3/2)^A8</f>
        <v>0.9636232233196821</v>
      </c>
      <c r="H8" s="7">
        <f aca="true" t="shared" si="2" ref="H8:H17">1/(1+$B$3/2-$B$4/10000)^A8</f>
        <v>0.9637160892401099</v>
      </c>
      <c r="I8" s="36"/>
      <c r="J8" s="26">
        <f aca="true" t="shared" si="3" ref="J8:J17">D8*F8</f>
        <v>-5.781182251770487</v>
      </c>
      <c r="K8" s="26">
        <f aca="true" t="shared" si="4" ref="K8:K17">D8*G8</f>
        <v>-5.781739339918093</v>
      </c>
      <c r="L8" s="26">
        <f aca="true" t="shared" si="5" ref="L8:L17">D8*H8</f>
        <v>-5.7822965354406595</v>
      </c>
    </row>
    <row r="9" spans="1:12" ht="12.75">
      <c r="A9">
        <f aca="true" t="shared" si="6" ref="A9:A17">A8+1</f>
        <v>2</v>
      </c>
      <c r="B9" s="44">
        <f aca="true" t="shared" si="7" ref="B9:B16">-$B$1/2</f>
        <v>-6</v>
      </c>
      <c r="C9" s="44">
        <v>0</v>
      </c>
      <c r="D9" s="43">
        <f t="shared" si="0"/>
        <v>-6</v>
      </c>
      <c r="F9" s="7">
        <f aca="true" t="shared" si="8" ref="F9:F17">1/(1+$B$3/2+$B$4/10000)^A9</f>
        <v>0.92839078411628</v>
      </c>
      <c r="G9" s="7">
        <f t="shared" si="1"/>
        <v>0.9285697165210137</v>
      </c>
      <c r="H9" s="7">
        <f t="shared" si="2"/>
        <v>0.9287487006602515</v>
      </c>
      <c r="I9" s="36"/>
      <c r="J9" s="26">
        <f t="shared" si="3"/>
        <v>-5.57034470469768</v>
      </c>
      <c r="K9" s="26">
        <f t="shared" si="4"/>
        <v>-5.5714182991260826</v>
      </c>
      <c r="L9" s="26">
        <f t="shared" si="5"/>
        <v>-5.5724922039615095</v>
      </c>
    </row>
    <row r="10" spans="1:12" ht="12.75">
      <c r="A10">
        <f t="shared" si="6"/>
        <v>3</v>
      </c>
      <c r="B10" s="44">
        <f t="shared" si="7"/>
        <v>-6</v>
      </c>
      <c r="C10" s="44">
        <v>0</v>
      </c>
      <c r="D10" s="43">
        <f t="shared" si="0"/>
        <v>-6</v>
      </c>
      <c r="F10" s="7">
        <f t="shared" si="8"/>
        <v>0.894532720640054</v>
      </c>
      <c r="G10" s="7">
        <f t="shared" si="1"/>
        <v>0.8947913433110226</v>
      </c>
      <c r="H10" s="7">
        <f t="shared" si="2"/>
        <v>0.895050065687131</v>
      </c>
      <c r="I10" s="36"/>
      <c r="J10" s="26">
        <f t="shared" si="3"/>
        <v>-5.367196323840323</v>
      </c>
      <c r="K10" s="26">
        <f t="shared" si="4"/>
        <v>-5.368748059866135</v>
      </c>
      <c r="L10" s="26">
        <f t="shared" si="5"/>
        <v>-5.370300394122786</v>
      </c>
    </row>
    <row r="11" spans="1:12" ht="12.75">
      <c r="A11">
        <f t="shared" si="6"/>
        <v>4</v>
      </c>
      <c r="B11" s="44">
        <f t="shared" si="7"/>
        <v>-6</v>
      </c>
      <c r="C11" s="44">
        <v>0</v>
      </c>
      <c r="D11" s="43">
        <f t="shared" si="0"/>
        <v>-6</v>
      </c>
      <c r="F11" s="7">
        <f t="shared" si="8"/>
        <v>0.8619094480320412</v>
      </c>
      <c r="G11" s="7">
        <f t="shared" si="1"/>
        <v>0.8622417184399159</v>
      </c>
      <c r="H11" s="7">
        <f t="shared" si="2"/>
        <v>0.8625741489781054</v>
      </c>
      <c r="I11" s="36"/>
      <c r="J11" s="26">
        <f t="shared" si="3"/>
        <v>-5.171456688192247</v>
      </c>
      <c r="K11" s="26">
        <f t="shared" si="4"/>
        <v>-5.173450310639495</v>
      </c>
      <c r="L11" s="26">
        <f t="shared" si="5"/>
        <v>-5.175444893868632</v>
      </c>
    </row>
    <row r="12" spans="1:12" ht="12.75">
      <c r="A12">
        <f t="shared" si="6"/>
        <v>5</v>
      </c>
      <c r="B12" s="44">
        <f t="shared" si="7"/>
        <v>-6</v>
      </c>
      <c r="C12" s="44">
        <v>0</v>
      </c>
      <c r="D12" s="43">
        <f t="shared" si="0"/>
        <v>-6</v>
      </c>
      <c r="F12" s="7">
        <f t="shared" si="8"/>
        <v>0.8304759339326889</v>
      </c>
      <c r="G12" s="7">
        <f t="shared" si="1"/>
        <v>0.8308761440037734</v>
      </c>
      <c r="H12" s="7">
        <f t="shared" si="2"/>
        <v>0.8312765855327957</v>
      </c>
      <c r="I12" s="36"/>
      <c r="J12" s="26">
        <f t="shared" si="3"/>
        <v>-4.982855603596134</v>
      </c>
      <c r="K12" s="26">
        <f t="shared" si="4"/>
        <v>-4.985256864022641</v>
      </c>
      <c r="L12" s="26">
        <f t="shared" si="5"/>
        <v>-4.987659513196775</v>
      </c>
    </row>
    <row r="13" spans="1:12" ht="12.75">
      <c r="A13">
        <f t="shared" si="6"/>
        <v>6</v>
      </c>
      <c r="B13" s="44">
        <f t="shared" si="7"/>
        <v>-6</v>
      </c>
      <c r="C13" s="44">
        <v>0</v>
      </c>
      <c r="D13" s="43">
        <f t="shared" si="0"/>
        <v>-6</v>
      </c>
      <c r="E13" s="16"/>
      <c r="F13" s="7">
        <f t="shared" si="8"/>
        <v>0.8001887882956967</v>
      </c>
      <c r="G13" s="7">
        <f t="shared" si="1"/>
        <v>0.8006515480643445</v>
      </c>
      <c r="H13" s="7">
        <f t="shared" si="2"/>
        <v>0.8011146200865376</v>
      </c>
      <c r="I13" s="36"/>
      <c r="J13" s="26">
        <f t="shared" si="3"/>
        <v>-4.801132729774181</v>
      </c>
      <c r="K13" s="26">
        <f t="shared" si="4"/>
        <v>-4.803909288386067</v>
      </c>
      <c r="L13" s="26">
        <f t="shared" si="5"/>
        <v>-4.806687720519225</v>
      </c>
    </row>
    <row r="14" spans="1:12" ht="12.75">
      <c r="A14">
        <f t="shared" si="6"/>
        <v>7</v>
      </c>
      <c r="B14" s="44">
        <f t="shared" si="7"/>
        <v>-6</v>
      </c>
      <c r="C14" s="44">
        <v>0</v>
      </c>
      <c r="D14" s="43">
        <f t="shared" si="0"/>
        <v>-6</v>
      </c>
      <c r="E14" s="16"/>
      <c r="F14" s="7">
        <f t="shared" si="8"/>
        <v>0.7710062034934689</v>
      </c>
      <c r="G14" s="7">
        <f t="shared" si="1"/>
        <v>0.7715264255016568</v>
      </c>
      <c r="H14" s="7">
        <f t="shared" si="2"/>
        <v>0.7720470487028743</v>
      </c>
      <c r="I14" s="36"/>
      <c r="J14" s="26">
        <f t="shared" si="3"/>
        <v>-4.626037220960813</v>
      </c>
      <c r="K14" s="26">
        <f t="shared" si="4"/>
        <v>-4.629158553009941</v>
      </c>
      <c r="L14" s="26">
        <f t="shared" si="5"/>
        <v>-4.632282292217246</v>
      </c>
    </row>
    <row r="15" spans="1:12" ht="12.75">
      <c r="A15">
        <f t="shared" si="6"/>
        <v>8</v>
      </c>
      <c r="B15" s="44">
        <f t="shared" si="7"/>
        <v>-6</v>
      </c>
      <c r="C15" s="44">
        <v>100</v>
      </c>
      <c r="D15" s="43">
        <f t="shared" si="0"/>
        <v>94</v>
      </c>
      <c r="E15" s="16"/>
      <c r="F15" s="7">
        <f t="shared" si="8"/>
        <v>0.7428878966068979</v>
      </c>
      <c r="G15" s="7">
        <f t="shared" si="1"/>
        <v>0.7434607810182191</v>
      </c>
      <c r="H15" s="7">
        <f t="shared" si="2"/>
        <v>0.7440341624853027</v>
      </c>
      <c r="I15" s="36"/>
      <c r="J15" s="26">
        <f t="shared" si="3"/>
        <v>69.8314622810484</v>
      </c>
      <c r="K15" s="26">
        <f t="shared" si="4"/>
        <v>69.8853134157126</v>
      </c>
      <c r="L15" s="26">
        <f t="shared" si="5"/>
        <v>69.93921127361845</v>
      </c>
    </row>
    <row r="16" spans="1:12" ht="12.75">
      <c r="A16">
        <f t="shared" si="6"/>
        <v>9</v>
      </c>
      <c r="B16" s="44">
        <f t="shared" si="7"/>
        <v>-6</v>
      </c>
      <c r="C16" s="44">
        <v>0</v>
      </c>
      <c r="D16" s="43">
        <f t="shared" si="0"/>
        <v>-6</v>
      </c>
      <c r="E16" s="16"/>
      <c r="F16" s="7">
        <f t="shared" si="8"/>
        <v>0.7157950538198178</v>
      </c>
      <c r="G16" s="7">
        <f t="shared" si="1"/>
        <v>0.7164160742165446</v>
      </c>
      <c r="H16" s="7">
        <f t="shared" si="2"/>
        <v>0.7170376933313765</v>
      </c>
      <c r="I16" s="36"/>
      <c r="J16" s="26">
        <f t="shared" si="3"/>
        <v>-4.2947703229189065</v>
      </c>
      <c r="K16" s="26">
        <f t="shared" si="4"/>
        <v>-4.298496445299268</v>
      </c>
      <c r="L16" s="26">
        <f t="shared" si="5"/>
        <v>-4.302226159988258</v>
      </c>
    </row>
    <row r="17" spans="1:12" ht="12.75">
      <c r="A17">
        <f t="shared" si="6"/>
        <v>10</v>
      </c>
      <c r="B17" s="44">
        <f>-(100+$B$1/2)</f>
        <v>-106</v>
      </c>
      <c r="C17" s="44">
        <v>0</v>
      </c>
      <c r="D17" s="43">
        <f t="shared" si="0"/>
        <v>-106</v>
      </c>
      <c r="E17" s="16"/>
      <c r="F17" s="7">
        <f t="shared" si="8"/>
        <v>0.6896902768413719</v>
      </c>
      <c r="G17" s="7">
        <f t="shared" si="1"/>
        <v>0.6903551666745792</v>
      </c>
      <c r="H17" s="7">
        <f t="shared" si="2"/>
        <v>0.6910207616550633</v>
      </c>
      <c r="I17" s="36"/>
      <c r="J17" s="26">
        <f t="shared" si="3"/>
        <v>-73.10716934518541</v>
      </c>
      <c r="K17" s="26">
        <f t="shared" si="4"/>
        <v>-73.1776476675054</v>
      </c>
      <c r="L17" s="26">
        <f t="shared" si="5"/>
        <v>-73.24820073543671</v>
      </c>
    </row>
    <row r="18" spans="1:12" ht="12.75">
      <c r="A18" s="13"/>
      <c r="B18" s="13"/>
      <c r="C18" s="13"/>
      <c r="D18" s="13"/>
      <c r="J18" s="26"/>
      <c r="K18" s="26"/>
      <c r="L18" s="26"/>
    </row>
    <row r="19" spans="1:12" ht="12.75">
      <c r="A19" s="33" t="s">
        <v>37</v>
      </c>
      <c r="B19" s="35">
        <f>2*IRR(B7:B17,0.06)</f>
        <v>0.07550000000023704</v>
      </c>
      <c r="C19" s="35"/>
      <c r="D19" s="35"/>
      <c r="J19" s="26">
        <f>SUM(J7:J17)</f>
        <v>0.033828502172724484</v>
      </c>
      <c r="K19" s="26">
        <f>SUM(K7:K17)</f>
        <v>0</v>
      </c>
      <c r="L19" s="26">
        <f>SUM(L7:L17)</f>
        <v>-0.03386776307283412</v>
      </c>
    </row>
    <row r="20" spans="1:4" ht="12.75">
      <c r="A20" s="14"/>
      <c r="B20" s="18"/>
      <c r="C20" s="18"/>
      <c r="D20" s="18"/>
    </row>
    <row r="21" spans="1:4" ht="12.75">
      <c r="A21" s="14"/>
      <c r="B21" s="18"/>
      <c r="C21" s="18"/>
      <c r="D21" s="18"/>
    </row>
    <row r="22" spans="1:4" ht="12.75">
      <c r="A22" s="15" t="s">
        <v>50</v>
      </c>
      <c r="B22" s="47">
        <v>8</v>
      </c>
      <c r="C22" s="18"/>
      <c r="D22" s="18"/>
    </row>
    <row r="23" spans="2:12" ht="12.75">
      <c r="B23" s="13"/>
      <c r="C23" s="13"/>
      <c r="D23" s="13"/>
      <c r="J23" s="61"/>
      <c r="K23" s="61"/>
      <c r="L23" s="61"/>
    </row>
    <row r="24" spans="1:4" ht="12.75">
      <c r="A24" s="13"/>
      <c r="B24" s="13"/>
      <c r="C24" s="13"/>
      <c r="D24" s="13"/>
    </row>
    <row r="25" spans="1:12" ht="12.75">
      <c r="A25" s="13"/>
      <c r="B25" s="34"/>
      <c r="C25" s="34"/>
      <c r="D25" s="34"/>
      <c r="J25" s="4"/>
      <c r="K25" s="4"/>
      <c r="L25" s="4"/>
    </row>
    <row r="26" spans="10:12" ht="12.75">
      <c r="J26" s="26"/>
      <c r="K26" s="26"/>
      <c r="L26" s="26"/>
    </row>
    <row r="27" spans="10:12" ht="12.75">
      <c r="J27" s="26"/>
      <c r="K27" s="26"/>
      <c r="L27" s="26"/>
    </row>
    <row r="28" spans="10:12" ht="12.75">
      <c r="J28" s="26"/>
      <c r="K28" s="26"/>
      <c r="L28" s="26"/>
    </row>
    <row r="29" spans="10:12" ht="12.75">
      <c r="J29" s="26"/>
      <c r="K29" s="26"/>
      <c r="L29" s="26"/>
    </row>
    <row r="30" spans="10:12" ht="12.75">
      <c r="J30" s="26"/>
      <c r="K30" s="26"/>
      <c r="L30" s="26"/>
    </row>
    <row r="31" spans="5:12" ht="12.75">
      <c r="E31" s="16"/>
      <c r="J31" s="26"/>
      <c r="K31" s="26"/>
      <c r="L31" s="26"/>
    </row>
    <row r="32" spans="5:12" ht="12.75">
      <c r="E32" s="16"/>
      <c r="J32" s="26"/>
      <c r="K32" s="26"/>
      <c r="L32" s="26"/>
    </row>
    <row r="33" spans="5:12" ht="12.75">
      <c r="E33" s="16"/>
      <c r="J33" s="26"/>
      <c r="K33" s="26"/>
      <c r="L33" s="26"/>
    </row>
    <row r="34" spans="1:12" ht="12.75">
      <c r="A34" s="13"/>
      <c r="B34" s="13"/>
      <c r="C34" s="13"/>
      <c r="D34" s="13"/>
      <c r="J34" s="26"/>
      <c r="K34" s="26"/>
      <c r="L34" s="26"/>
    </row>
    <row r="35" spans="1:12" ht="12.75">
      <c r="A35" s="33"/>
      <c r="B35" s="35"/>
      <c r="C35" s="35"/>
      <c r="D35" s="35"/>
      <c r="J35" s="26"/>
      <c r="K35" s="26"/>
      <c r="L35" s="26"/>
    </row>
    <row r="36" spans="1:12" ht="12.75">
      <c r="A36" s="14"/>
      <c r="B36" s="18"/>
      <c r="C36" s="18"/>
      <c r="D36" s="18"/>
      <c r="J36" s="26"/>
      <c r="K36" s="26"/>
      <c r="L36" s="26"/>
    </row>
    <row r="37" spans="10:12" ht="12.75">
      <c r="J37" s="26"/>
      <c r="K37" s="26"/>
      <c r="L37" s="26"/>
    </row>
  </sheetData>
  <sheetProtection/>
  <mergeCells count="3">
    <mergeCell ref="J4:L4"/>
    <mergeCell ref="J23:L23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kucni racunar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Cedomir</dc:creator>
  <cp:keywords/>
  <dc:description/>
  <cp:lastModifiedBy>ERC</cp:lastModifiedBy>
  <dcterms:created xsi:type="dcterms:W3CDTF">2006-07-20T11:17:31Z</dcterms:created>
  <dcterms:modified xsi:type="dcterms:W3CDTF">2011-12-08T19:30:46Z</dcterms:modified>
  <cp:category/>
  <cp:version/>
  <cp:contentType/>
  <cp:contentStatus/>
</cp:coreProperties>
</file>